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10" activeTab="0"/>
  </bookViews>
  <sheets>
    <sheet name="NOISE_R3" sheetId="1" r:id="rId1"/>
  </sheets>
  <definedNames>
    <definedName name="\a">'NOISE_R3'!$BF$103</definedName>
    <definedName name="\c">'NOISE_R3'!$BG$81</definedName>
    <definedName name="\d">'NOISE_R3'!$BG$9</definedName>
    <definedName name="\h">'NOISE_R3'!$BF$111</definedName>
    <definedName name="\i">'NOISE_R3'!$BF$101</definedName>
    <definedName name="\m">'NOISE_R3'!$BF$3</definedName>
    <definedName name="\p">'NOISE_R3'!$BF$107</definedName>
    <definedName name="\t">'NOISE_R3'!$BF$105</definedName>
    <definedName name="\z">'NOISE_R3'!$BL$3</definedName>
    <definedName name="_Fill" hidden="1">'NOISE_R3'!$AG$41:$AG$61</definedName>
    <definedName name="_Regression_Int" localSheetId="0" hidden="1">1</definedName>
    <definedName name="AIR">'NOISE_R3'!$I$1:$P$67</definedName>
    <definedName name="BAR">'NOISE_R3'!$AG$1:$AN$21</definedName>
    <definedName name="COUNTER">'NOISE_R3'!$BB$59</definedName>
    <definedName name="CTA">'NOISE_R3'!$Y$81:$AF$111</definedName>
    <definedName name="HELP">'NOISE_R3'!$A$1:$H$28</definedName>
    <definedName name="INDEX">'NOISE_R3'!$AW$1:$BD$40</definedName>
    <definedName name="MACRO">'NOISE_R3'!$AO$1:$AV$20</definedName>
    <definedName name="MENU">'NOISE_R3'!$BE$1</definedName>
    <definedName name="NUMBER">'NOISE_R3'!$BB$60</definedName>
    <definedName name="_xlnm.Print_Area" localSheetId="0">'NOISE_R3'!$A$1:$H$28</definedName>
    <definedName name="Print_Area_MI" localSheetId="0">'NOISE_R3'!$A$1:$H$28</definedName>
    <definedName name="PROJ">'NOISE_R3'!$A$41:$H$95</definedName>
    <definedName name="RAIL">'NOISE_R3'!$Y$1:$AF$57</definedName>
    <definedName name="ROAD">'NOISE_R3'!$Q$1:$X$161</definedName>
    <definedName name="ROADPR">'NOISE_R3'!$Q$1:$X$71</definedName>
    <definedName name="SITE">'NOISE_R3'!$H$87:$IV$2048</definedName>
    <definedName name="STR">'NOISE_R3'!$Q$1:$X$71</definedName>
  </definedNames>
  <calcPr fullCalcOnLoad="1"/>
</workbook>
</file>

<file path=xl/sharedStrings.xml><?xml version="1.0" encoding="utf-8"?>
<sst xmlns="http://schemas.openxmlformats.org/spreadsheetml/2006/main" count="1056" uniqueCount="680">
  <si>
    <t>Version</t>
  </si>
  <si>
    <t>1-2-3 WORKSHEET FOR HUD'S</t>
  </si>
  <si>
    <t>WORKSHEET B</t>
  </si>
  <si>
    <t>WORKSHEET C - ROADWAY NOISE</t>
  </si>
  <si>
    <t>WORKSHEET D - RAILWAY NOISE</t>
  </si>
  <si>
    <t xml:space="preserve">    (FOR CTA NOISE GO TO CTA)</t>
  </si>
  <si>
    <t>WORKCHART 5</t>
  </si>
  <si>
    <t>NOISE BARRIER</t>
  </si>
  <si>
    <t>MACROS</t>
  </si>
  <si>
    <t>INDEX</t>
  </si>
  <si>
    <t>MENU MACROS</t>
  </si>
  <si>
    <t>INITIAL &amp; INDEX</t>
  </si>
  <si>
    <t>INTRO</t>
  </si>
  <si>
    <t>ENTER DATA</t>
  </si>
  <si>
    <t>CLEAR DATA</t>
  </si>
  <si>
    <t>PRINT OUTPUT</t>
  </si>
  <si>
    <t>VIEW</t>
  </si>
  <si>
    <t>1.003</t>
  </si>
  <si>
    <t>NOISE ASSESSMENT GUIDELINES</t>
  </si>
  <si>
    <t>AIRCRAFT NOISE</t>
  </si>
  <si>
    <t>\0 &amp; \M</t>
  </si>
  <si>
    <t>Introductory text</t>
  </si>
  <si>
    <t>Pick worksheet to enter data (use num lock)</t>
  </si>
  <si>
    <t>Pick worksheet to erase data</t>
  </si>
  <si>
    <t>Pick desired outputs</t>
  </si>
  <si>
    <t>Pick worksheet forviewing</t>
  </si>
  <si>
    <t>10/7/91</t>
  </si>
  <si>
    <t>_</t>
  </si>
  <si>
    <t>List all major Roads within 1000 feet of site:</t>
  </si>
  <si>
    <t>List All Railways within 3000 feet of the site:</t>
  </si>
  <si>
    <t>ENTER THE VALUES FOR:</t>
  </si>
  <si>
    <t>MENUS</t>
  </si>
  <si>
    <t>/XMbg1~</t>
  </si>
  <si>
    <t>{home}</t>
  </si>
  <si>
    <t>/XMBE11~</t>
  </si>
  <si>
    <t>/XMBE83~</t>
  </si>
  <si>
    <t>/XMBE163~</t>
  </si>
  <si>
    <t>/XMBE5~</t>
  </si>
  <si>
    <t>TO USE THIS WORKSHEET FOLLOW THESE SIMPLE INSTRUCTIONS:</t>
  </si>
  <si>
    <t>List all Airports within 15 miles of site:</t>
  </si>
  <si>
    <t>1.</t>
  </si>
  <si>
    <t>PRINT MACROS</t>
  </si>
  <si>
    <t>2.</t>
  </si>
  <si>
    <t>H</t>
  </si>
  <si>
    <t xml:space="preserve">= ELEVATION OF BARRIER </t>
  </si>
  <si>
    <t>H =</t>
  </si>
  <si>
    <t>DATA</t>
  </si>
  <si>
    <t>D</t>
  </si>
  <si>
    <t>PROJECT</t>
  </si>
  <si>
    <t>ROADWAY</t>
  </si>
  <si>
    <t>TRAIN</t>
  </si>
  <si>
    <t>BARRIER</t>
  </si>
  <si>
    <t>AIR</t>
  </si>
  <si>
    <t>ERASE</t>
  </si>
  <si>
    <t xml:space="preserve">TO ENTER PROJECT DATA PRESS "ALT" I  and USE RIGHT ARROW KEY </t>
  </si>
  <si>
    <t>3.</t>
  </si>
  <si>
    <t>S</t>
  </si>
  <si>
    <t>= ELEVATION OF SOURCE</t>
  </si>
  <si>
    <t>S =</t>
  </si>
  <si>
    <t>ROADWAY PRINT</t>
  </si>
  <si>
    <t>T</t>
  </si>
  <si>
    <t>INTRODUCTORY TEXT TO FILE</t>
  </si>
  <si>
    <t>PROJECT INFORMATION (CASE #, LOCATION) INCLUDING DNL SUMMARY</t>
  </si>
  <si>
    <t>WORKCHART B - ROADWAY NOISE</t>
  </si>
  <si>
    <t>WORKCHART C - RAILWAY NOISE</t>
  </si>
  <si>
    <t>WORKCHART FOR BARRIER ANALYSIS</t>
  </si>
  <si>
    <t>WORKCHART A - AIRCRAFT NOISE</t>
  </si>
  <si>
    <t>CLEAR OLD DATA FROM ALL WORKSHEETS</t>
  </si>
  <si>
    <t>DISPLAY AND PRINT INDEX OF ALL RANGE NAMES &amp; MACRO CODES</t>
  </si>
  <si>
    <t>TO ENTER ROAD DATA PRESS "ALT" A  and USE RIGHT ARROW KEY</t>
  </si>
  <si>
    <t>4.</t>
  </si>
  <si>
    <t>O</t>
  </si>
  <si>
    <t>= ELEVATION OF OBSERVER</t>
  </si>
  <si>
    <t>O =</t>
  </si>
  <si>
    <t>CLEAR</t>
  </si>
  <si>
    <t>C</t>
  </si>
  <si>
    <t>{GOTO}A1~</t>
  </si>
  <si>
    <t>{GOTO}PROJ~</t>
  </si>
  <si>
    <t>{GOTO}STR~</t>
  </si>
  <si>
    <t>{GOTO}RAIL~</t>
  </si>
  <si>
    <t>{GOTO}BAR~</t>
  </si>
  <si>
    <t>{GOTO}AIR~</t>
  </si>
  <si>
    <t>/XGBK85~</t>
  </si>
  <si>
    <t>/PPRAW1.BD40~GQ{GOTO}AW1~</t>
  </si>
  <si>
    <t>TO ENTER RAIL DATA PRESS "ALT" T  and USE RIGHT ARROW KEY</t>
  </si>
  <si>
    <t>ROAD 1</t>
  </si>
  <si>
    <t>ROAD 2</t>
  </si>
  <si>
    <t>ROAD 3</t>
  </si>
  <si>
    <t>ROAD 4</t>
  </si>
  <si>
    <t>R'</t>
  </si>
  <si>
    <t>= MAP DISTANCE BETWEEN BARRIER AND SOURCE</t>
  </si>
  <si>
    <t>R' =</t>
  </si>
  <si>
    <t>RAILWAY PRINT</t>
  </si>
  <si>
    <t>L</t>
  </si>
  <si>
    <t>Necessary Information:</t>
  </si>
  <si>
    <t>AIR 1</t>
  </si>
  <si>
    <t>AIR 2</t>
  </si>
  <si>
    <t>AIR 3</t>
  </si>
  <si>
    <t>1. Distance in feet from the NAL</t>
  </si>
  <si>
    <t>Necessary Information</t>
  </si>
  <si>
    <t>Railway1</t>
  </si>
  <si>
    <t>Railway2</t>
  </si>
  <si>
    <t>Railway3</t>
  </si>
  <si>
    <t>D'</t>
  </si>
  <si>
    <t xml:space="preserve">= MAP DISTANCE BETWEEN BARRIER AND OBSERVER </t>
  </si>
  <si>
    <t>D' =</t>
  </si>
  <si>
    <t>PRINT</t>
  </si>
  <si>
    <t>P</t>
  </si>
  <si>
    <t>\D</t>
  </si>
  <si>
    <t xml:space="preserve">WHEN EACH DATA ENTRY IS COMPLETED PRESS {ESC} {F9} TO END </t>
  </si>
  <si>
    <t xml:space="preserve">    to the edge of the road</t>
  </si>
  <si>
    <t>ALPHA</t>
  </si>
  <si>
    <t xml:space="preserve">= ANGLE SUBTENDED BY BARRIER AT OBSERVER'S </t>
  </si>
  <si>
    <t>ALPHA =</t>
  </si>
  <si>
    <t>CTA PRINT</t>
  </si>
  <si>
    <t xml:space="preserve">    DATA ENTRY AND CALCULATE WORKWHEET</t>
  </si>
  <si>
    <t>1. Are DNL, NEF or CNR contours available?</t>
  </si>
  <si>
    <t xml:space="preserve"> a. nearest lane</t>
  </si>
  <si>
    <t>________</t>
  </si>
  <si>
    <t>1. Distance in feet from NAL</t>
  </si>
  <si>
    <t xml:space="preserve">   LOCATION</t>
  </si>
  <si>
    <t>INITIAL</t>
  </si>
  <si>
    <t>I</t>
  </si>
  <si>
    <t>TRAINS</t>
  </si>
  <si>
    <t>CTA</t>
  </si>
  <si>
    <t xml:space="preserve"> b. farthest lane</t>
  </si>
  <si>
    <t xml:space="preserve">     to the railway track</t>
  </si>
  <si>
    <t>PROJECT PRINT</t>
  </si>
  <si>
    <t>J</t>
  </si>
  <si>
    <t>ENTER PROJECT SUMMARY (CASE#,SPONSOR) INCL DNLs</t>
  </si>
  <si>
    <t>ENTER DATA WORKSHEET B - ROADWAY NOISE</t>
  </si>
  <si>
    <t>ENTER DATA WORKSHEET C - RAILWAY NOISE</t>
  </si>
  <si>
    <t>ENTER DATA CTA ELEVATED RAPID TRANSIT LINES</t>
  </si>
  <si>
    <t>ENTER DATA WORKSHEET A - AIRCRAFT NOISE</t>
  </si>
  <si>
    <t>ENTER DATA WORKSHEET   -  BARRIER ANALYSIS</t>
  </si>
  <si>
    <t>TO PRINT WORKSHEET PRESS "ALT" P</t>
  </si>
  <si>
    <t>2. Any supersonic aircraft operations?</t>
  </si>
  <si>
    <t xml:space="preserve"> c. average </t>
  </si>
  <si>
    <t>h</t>
  </si>
  <si>
    <t>= EFFECTIVE HEIGHT OF BARRIER</t>
  </si>
  <si>
    <t>h =</t>
  </si>
  <si>
    <t>{GOTO}ROAD~</t>
  </si>
  <si>
    <t>{GOTO}CTA~</t>
  </si>
  <si>
    <t>{GOTO}AIR~{GOTO}J5~{?}~</t>
  </si>
  <si>
    <t>2. Number of trains in 24 hrs:</t>
  </si>
  <si>
    <t xml:space="preserve">   (DISTANCE BETWEEN LINE OF SITE </t>
  </si>
  <si>
    <t>BARRIRER PRINT</t>
  </si>
  <si>
    <t>K</t>
  </si>
  <si>
    <t>{GOTO}C49~{?}~</t>
  </si>
  <si>
    <t>{GOTO}R4~{?}~</t>
  </si>
  <si>
    <t>{GOTO}Z5~{?}~</t>
  </si>
  <si>
    <t>{GOTO}Z85~{?}~</t>
  </si>
  <si>
    <t>{GOTO}N11~{?}~</t>
  </si>
  <si>
    <t>{GOTO}AN6~{?}~</t>
  </si>
  <si>
    <t>TO RETURN TO THESE INSTRUCTIONS PRESS {HOME}</t>
  </si>
  <si>
    <t xml:space="preserve">3. Estimating approximate contours from </t>
  </si>
  <si>
    <t>2. Distance to Stop Sign (If no</t>
  </si>
  <si>
    <t>a. diesel</t>
  </si>
  <si>
    <t>AND BARRIER TOP)</t>
  </si>
  <si>
    <t>FUNCTION</t>
  </si>
  <si>
    <t>RANGE</t>
  </si>
  <si>
    <t>NAME</t>
  </si>
  <si>
    <t>{GOTO}C51~{?}~</t>
  </si>
  <si>
    <t>{GOTO}U11~{?}~</t>
  </si>
  <si>
    <t>{GOTO}AC12~{?}~</t>
  </si>
  <si>
    <t>{GOTO}AC91~{?}~</t>
  </si>
  <si>
    <t>{GOTO}N13~{?}~</t>
  </si>
  <si>
    <t>{GOTO}AN7~{?}~</t>
  </si>
  <si>
    <t>Figure 3(DNL&gt;65):</t>
  </si>
  <si>
    <t>Sign enter 1000)</t>
  </si>
  <si>
    <t>b. electrified</t>
  </si>
  <si>
    <t>R</t>
  </si>
  <si>
    <t>= SOURCE TO BARRIER DISTANCE</t>
  </si>
  <si>
    <t>R =</t>
  </si>
  <si>
    <t>AIR PRINT</t>
  </si>
  <si>
    <t>{GOTO}C53~{?}~</t>
  </si>
  <si>
    <t>{GOTO}U12~{?}~</t>
  </si>
  <si>
    <t>{GOTO}AC15~{?}~</t>
  </si>
  <si>
    <t>{GOTO}AC93~{?}~</t>
  </si>
  <si>
    <t>{GOTO}N17~{?}~</t>
  </si>
  <si>
    <t>{GOTO}AN8~{?}~</t>
  </si>
  <si>
    <t>5.</t>
  </si>
  <si>
    <t>TO MOVE AROUND THE WORKSHEET PRESS {F5} {F3} {F3}</t>
  </si>
  <si>
    <t xml:space="preserve">   a. number of nightime jet operations</t>
  </si>
  <si>
    <t>3. Road Gradient in percent (.xx)</t>
  </si>
  <si>
    <t xml:space="preserve">  (ALONG LINE OF SIGHT)</t>
  </si>
  <si>
    <t>PROJECT INFO</t>
  </si>
  <si>
    <t>PROJ</t>
  </si>
  <si>
    <t>{GOTO}C55~{?}~</t>
  </si>
  <si>
    <t>{GOTO}U15~{?}~</t>
  </si>
  <si>
    <t>{GOTO}AC16~{?}~</t>
  </si>
  <si>
    <t>{GOTO}AC96~{?}~</t>
  </si>
  <si>
    <t>{GOTO}N19~{?}~{PGDN}~</t>
  </si>
  <si>
    <t>{GOTO}AN9~{?}~</t>
  </si>
  <si>
    <t xml:space="preserve">    TO LIST THE RANGE NAMES YOU CAN SELECT</t>
  </si>
  <si>
    <t>projected</t>
  </si>
  <si>
    <t>3. Fraction of operations occuring</t>
  </si>
  <si>
    <t>(enter as a decimal: .xx)</t>
  </si>
  <si>
    <t>= OBSERVER TO BARRIER DISTANCE</t>
  </si>
  <si>
    <t>D =</t>
  </si>
  <si>
    <t>&amp; SUMMARY</t>
  </si>
  <si>
    <t>{GOTO}C57~{?}~</t>
  </si>
  <si>
    <t>{GOTO}U17~{?}~</t>
  </si>
  <si>
    <t>{GOTO}AC19~{?}~</t>
  </si>
  <si>
    <t>{GOTO}AC98~{?}~{CALC}</t>
  </si>
  <si>
    <t>{DOWN}{DOWN}{GOTO}N41~{?}~</t>
  </si>
  <si>
    <t>{GOTO}AN10~{?}~</t>
  </si>
  <si>
    <t xml:space="preserve">   b. number of daytime jet operations</t>
  </si>
  <si>
    <t>4. Average speed in mph</t>
  </si>
  <si>
    <t xml:space="preserve"> </t>
  </si>
  <si>
    <t>at night (10PM-7AM)</t>
  </si>
  <si>
    <t>{GOTO}C60~{?}~</t>
  </si>
  <si>
    <t>{GOTO}U20~{?}~{PGDN}</t>
  </si>
  <si>
    <t>{PGDN}</t>
  </si>
  <si>
    <t>{GOTO}Z86~{?}~</t>
  </si>
  <si>
    <t>{PGDN}{GOTO}N43~{?}~</t>
  </si>
  <si>
    <t>{CALC}</t>
  </si>
  <si>
    <t>6.</t>
  </si>
  <si>
    <t>TO PRINT THESE INSTRUCTIONS PRESS "ALT" H</t>
  </si>
  <si>
    <t xml:space="preserve"> a. autos</t>
  </si>
  <si>
    <t>{PGDN} TO CONTINUE</t>
  </si>
  <si>
    <t>CLEAR (ERASE) WORKSHEET MACROS</t>
  </si>
  <si>
    <t>ROADWAY NOISE</t>
  </si>
  <si>
    <t>ROAD</t>
  </si>
  <si>
    <t>{GOTO}G60~{?}~</t>
  </si>
  <si>
    <t>{GOTO}U21~{?}~</t>
  </si>
  <si>
    <t>{GOTO}AC22~{?}~</t>
  </si>
  <si>
    <t>{GOTO}AD91~{?}~</t>
  </si>
  <si>
    <t>{GOTO}N47~{?}~</t>
  </si>
  <si>
    <t xml:space="preserve">   c. effective number of operations</t>
  </si>
  <si>
    <t xml:space="preserve"> b. heavy trucks - uphill</t>
  </si>
  <si>
    <t>4. Number of diesel locomotives</t>
  </si>
  <si>
    <t>A</t>
  </si>
  <si>
    <t xml:space="preserve">= BARRIER POTENTIAL PERFORMANCE </t>
  </si>
  <si>
    <t>A =</t>
  </si>
  <si>
    <t>RECALCULATION ON</t>
  </si>
  <si>
    <t>/WGRN</t>
  </si>
  <si>
    <t>{GOTO}A62~</t>
  </si>
  <si>
    <t>{GOTO}U22~{?}~</t>
  </si>
  <si>
    <t>{GOTO}AC25~{?}~</t>
  </si>
  <si>
    <t>{GOTO}AD93~{?}~</t>
  </si>
  <si>
    <t>{GOTO}N48~{?}~</t>
  </si>
  <si>
    <t>7.</t>
  </si>
  <si>
    <t xml:space="preserve">WHEN ENTERING NUMBERS AND WORDS TOGETHER (an address) </t>
  </si>
  <si>
    <t xml:space="preserve"> c. heavy trucks - downhill</t>
  </si>
  <si>
    <t>per train:</t>
  </si>
  <si>
    <t xml:space="preserve">   (IF INFINITELY LONG)</t>
  </si>
  <si>
    <t>{GOTO}C62~{?}~</t>
  </si>
  <si>
    <t>{GOTO}U25~{?}~</t>
  </si>
  <si>
    <t>{GOTO}AC26~{?}~</t>
  </si>
  <si>
    <t>{GOTO}AD96~{?}~</t>
  </si>
  <si>
    <t>{GOTO}N49~{?}~</t>
  </si>
  <si>
    <t xml:space="preserve">    PRECEDE THE NUMBER WITH '</t>
  </si>
  <si>
    <t xml:space="preserve">   d. distance A for 65 dB  (PROJECTED)</t>
  </si>
  <si>
    <t>QUICK - RECALCULATION OFF</t>
  </si>
  <si>
    <t>Q</t>
  </si>
  <si>
    <t>/WGRM</t>
  </si>
  <si>
    <t>{GOTO}G62~{?}~</t>
  </si>
  <si>
    <t>{GOTO}U27~{?}~</t>
  </si>
  <si>
    <t>{GOTO}AC28~{?}~</t>
  </si>
  <si>
    <t>{GOTO}AD98~{?}~{CALC}</t>
  </si>
  <si>
    <t>{GOTO}N53~{?}~</t>
  </si>
  <si>
    <t>70 dB</t>
  </si>
  <si>
    <t>5. Auto ADT</t>
  </si>
  <si>
    <t>5. Number of rail cars per train:</t>
  </si>
  <si>
    <t>B</t>
  </si>
  <si>
    <t>= ADJUSTMENT TO BARRIER ATTENUATION FOR</t>
  </si>
  <si>
    <t>B =</t>
  </si>
  <si>
    <t>{GOTO}U33~{?}~</t>
  </si>
  <si>
    <t>{GOTO}AC30~{?}~</t>
  </si>
  <si>
    <t>{GOTO}Z87~{?}~</t>
  </si>
  <si>
    <t>{GOTO}N54~{?}~</t>
  </si>
  <si>
    <t>8.</t>
  </si>
  <si>
    <t>ALIGN PRINTER PAPER AT PROPER POSITION PRIOR TO PRINTING</t>
  </si>
  <si>
    <t>75 dB</t>
  </si>
  <si>
    <t xml:space="preserve"> a. auto</t>
  </si>
  <si>
    <t>(data)</t>
  </si>
  <si>
    <t>a. diesel trains</t>
  </si>
  <si>
    <t xml:space="preserve">    LOSS OF GROUND ATTENUATION</t>
  </si>
  <si>
    <t>RAILWAY NOISE</t>
  </si>
  <si>
    <t>RAIL</t>
  </si>
  <si>
    <t>{GOTO}U35~{?}~</t>
  </si>
  <si>
    <t>{GOTO}AC33~{?}~{CALC}</t>
  </si>
  <si>
    <t>{GOTO}AE91~{?}~</t>
  </si>
  <si>
    <t>{GOTO}N57~{?}~</t>
  </si>
  <si>
    <t xml:space="preserve">      distance A for 65 dB  </t>
  </si>
  <si>
    <t>(CURRENT)</t>
  </si>
  <si>
    <t>(projected)</t>
  </si>
  <si>
    <t>b. electrified trains</t>
  </si>
  <si>
    <t>{GOTO}U37~{?}~{PGDN}~</t>
  </si>
  <si>
    <t>{GOTO}RAIL~{GOTO}Z6~{?}~</t>
  </si>
  <si>
    <t>{GOTO}AE93~{?}~</t>
  </si>
  <si>
    <t>{GOTO}N58~{?}~{CALC}</t>
  </si>
  <si>
    <t>9.</t>
  </si>
  <si>
    <t>Press {F5} AIR to "goto" airport noise</t>
  </si>
  <si>
    <t xml:space="preserve"> b. medium trucks</t>
  </si>
  <si>
    <t>FS</t>
  </si>
  <si>
    <t>= ACTUAL BARRIER PERFORMANCE</t>
  </si>
  <si>
    <t>FS =</t>
  </si>
  <si>
    <t>{GOTO}U41~{?}~</t>
  </si>
  <si>
    <t>{GOTO}AD12~{?}~</t>
  </si>
  <si>
    <t>{GOTO}AE96~{?}~</t>
  </si>
  <si>
    <t>6. Average Train speed:</t>
  </si>
  <si>
    <t>{GOTO}U44~{?}~</t>
  </si>
  <si>
    <t>{GOTO}AD15~{?}~</t>
  </si>
  <si>
    <t>{GOTO}AE98~{?}~</t>
  </si>
  <si>
    <t>{GOTO}J6~{?}~</t>
  </si>
  <si>
    <t>CHOOSE THE APPROPRIATE WORKSHEET BY PRESSING F5 (GO TO) AND THE</t>
  </si>
  <si>
    <t xml:space="preserve"> c. effective ADT</t>
  </si>
  <si>
    <t>CTA RAPID</t>
  </si>
  <si>
    <t>{GOTO}U45~{?}~</t>
  </si>
  <si>
    <t>{GOTO}AD16~{?}~</t>
  </si>
  <si>
    <t>{GOTO}O11~{?}~</t>
  </si>
  <si>
    <t xml:space="preserve">                          CORRESPONDING RANGE NAME</t>
  </si>
  <si>
    <t xml:space="preserve">   e. distance B for 65 dB  (PROJECTED)</t>
  </si>
  <si>
    <t>7. Is track welded(1) or bolted(2)?</t>
  </si>
  <si>
    <t>TRANSIT NOISE</t>
  </si>
  <si>
    <t>{GOTO}U46~{?}~{CALC}{GOTO}ROAD~</t>
  </si>
  <si>
    <t>{GOTO}AD19~{?}~</t>
  </si>
  <si>
    <t>{GOTO}O13~{?}~</t>
  </si>
  <si>
    <t>{GOTO}R5~{?}~{GOTO}V11~{?}~</t>
  </si>
  <si>
    <t>{GOTO}O17~{?}~</t>
  </si>
  <si>
    <t>6. Truck ADT</t>
  </si>
  <si>
    <t>8. Are whistles or horns required</t>
  </si>
  <si>
    <t>{GOTO}V12~{?}~{GOTO}V15~{?}~</t>
  </si>
  <si>
    <t>{GOTO}AD22~{?}~</t>
  </si>
  <si>
    <t>{GOTO}O19~{?}~{PGDN}~</t>
  </si>
  <si>
    <t>TITLE</t>
  </si>
  <si>
    <t>RANGE NAME</t>
  </si>
  <si>
    <t xml:space="preserve">      distance B for 65 dB  (CURRENT)</t>
  </si>
  <si>
    <t xml:space="preserve"> a. uphill</t>
  </si>
  <si>
    <t>for grade crossings?  (Yes=1, No=2)</t>
  </si>
  <si>
    <t>{GOTO}V17~{?}~{GOTO}V20~{?}~{PGDN}~</t>
  </si>
  <si>
    <t>{GOTO}AD25~{?}~</t>
  </si>
  <si>
    <t>{DOWN}{DOWN}{GOTO}O41~{?}~</t>
  </si>
  <si>
    <t xml:space="preserve">     (or total)</t>
  </si>
  <si>
    <t>{GOTO}V21~{?}~{GOTO}V22~{?}~</t>
  </si>
  <si>
    <t>{GOTO}AD26~{?}~</t>
  </si>
  <si>
    <t>{GOTO}O43~{?}~</t>
  </si>
  <si>
    <t>SITE EVALUATION</t>
  </si>
  <si>
    <t>SITE</t>
  </si>
  <si>
    <t xml:space="preserve"> b. downhill</t>
  </si>
  <si>
    <t>BARRIER ANALYSIS</t>
  </si>
  <si>
    <t>BAR</t>
  </si>
  <si>
    <t>{GOTO}V25~{?}~{GOTO}V27~{?}~</t>
  </si>
  <si>
    <t>{GOTO}AD28~{?}~</t>
  </si>
  <si>
    <t>{GOTO}O47~{?}~</t>
  </si>
  <si>
    <t xml:space="preserve">       R A I L W A Y S</t>
  </si>
  <si>
    <t>{GOTO}V33~{?}~{GOTO}V35~{?}~</t>
  </si>
  <si>
    <t>{GOTO}AD30~{?}~</t>
  </si>
  <si>
    <t>{GOTO}O48~{?}~</t>
  </si>
  <si>
    <t xml:space="preserve"> c. buses </t>
  </si>
  <si>
    <t>1</t>
  </si>
  <si>
    <t>2</t>
  </si>
  <si>
    <t>3</t>
  </si>
  <si>
    <t>MENU</t>
  </si>
  <si>
    <t>{GOTO}V37~{?}~{PGDN}~{GOTO}V41~{?}~</t>
  </si>
  <si>
    <t>{GOTO}AD33~{?}~{CALC}</t>
  </si>
  <si>
    <t>{GOTO}O49~{?}~</t>
  </si>
  <si>
    <t>4. Estimating DNL from Table 2:</t>
  </si>
  <si>
    <t xml:space="preserve"> d. total</t>
  </si>
  <si>
    <t>{GOTO}V44~{?}~{GOTO}V45~{?}~</t>
  </si>
  <si>
    <t>{GOTO}RAIL~{GOTO}Z7~{?}~</t>
  </si>
  <si>
    <t>{GOTO}O53~{?}~</t>
  </si>
  <si>
    <t>CTA NOISE</t>
  </si>
  <si>
    <t xml:space="preserve">   (If DNL&lt;65 after contours are drawn)</t>
  </si>
  <si>
    <t>DIESEL LOCOMOTIVE DNL</t>
  </si>
  <si>
    <t>CALCULATIONS</t>
  </si>
  <si>
    <t>COMPLETE CLEAR</t>
  </si>
  <si>
    <t>{GOTO}V46~{?}~{CALC}{GOTO}ROAD~</t>
  </si>
  <si>
    <t>{GOTO}AE12~{?}~</t>
  </si>
  <si>
    <t>{GOTO}O54~{?}~</t>
  </si>
  <si>
    <t xml:space="preserve">   a. distance for 65 dB contour to</t>
  </si>
  <si>
    <t>{GOTO}R6~{?}~{GOTO}W11~{?}~</t>
  </si>
  <si>
    <t>{GOTO}AE15~{?}~</t>
  </si>
  <si>
    <t>{GOTO}O57~{?}~</t>
  </si>
  <si>
    <t>flight path, D1</t>
  </si>
  <si>
    <t>7. Fraction of nightime traffic</t>
  </si>
  <si>
    <t>RAILWAY CAR DNL</t>
  </si>
  <si>
    <t>x</t>
  </si>
  <si>
    <t>source to top of barrier</t>
  </si>
  <si>
    <t>{GOTO}W12~{?}~{GOTO}W15~{?}~</t>
  </si>
  <si>
    <t>{GOTO}AE16~{?}~</t>
  </si>
  <si>
    <t>{GOTO}O58~{?}~{CALC}</t>
  </si>
  <si>
    <t xml:space="preserve">   b. distance from NAL to flight</t>
  </si>
  <si>
    <t xml:space="preserve">  (10 PM to 7AM)</t>
  </si>
  <si>
    <t>y</t>
  </si>
  <si>
    <t>top of barrier to observer</t>
  </si>
  <si>
    <t>{GOTO}W17~{?}~{GOTO}W20~{?}~{PGDN}~</t>
  </si>
  <si>
    <t>{GOTO}AE19~{?}~</t>
  </si>
  <si>
    <t>WORKSHEET A - SITE EVALUATION</t>
  </si>
  <si>
    <t>path, D2</t>
  </si>
  <si>
    <t>z</t>
  </si>
  <si>
    <t>source to observer (st. line)</t>
  </si>
  <si>
    <t>{GOTO}W21~{?}~{GOTO}W22~{?}~</t>
  </si>
  <si>
    <t>{GOTO}J7~{?}~</t>
  </si>
  <si>
    <t xml:space="preserve">   c. D2 divided by D1</t>
  </si>
  <si>
    <t>8. Traffic Data Is For What Year?</t>
  </si>
  <si>
    <t>x+y-z</t>
  </si>
  <si>
    <t>diff in path due to barrier</t>
  </si>
  <si>
    <t>{GOTO}W25~{?}~{GOTO}W27~{?}~</t>
  </si>
  <si>
    <t>{GOTO}AE22~{?}~</t>
  </si>
  <si>
    <t>{GOTO}P11~{?}~</t>
  </si>
  <si>
    <t xml:space="preserve">   d. DNL</t>
  </si>
  <si>
    <t xml:space="preserve">   Traffic Projected To What Year?</t>
  </si>
  <si>
    <t>ELECTRIC RAILWAY CAR DNL</t>
  </si>
  <si>
    <t>{GOTO}W33~{?}~{GOTO}W35~{?}~</t>
  </si>
  <si>
    <t>{GOTO}AE25~{?}~</t>
  </si>
  <si>
    <t>{GOTO}P13~{?}~</t>
  </si>
  <si>
    <t>Growth Rate in %/yr. (as a whole #)</t>
  </si>
  <si>
    <t>{GOTO}W37~{?}~{PGDN}~{GOTO}W41~{?}~</t>
  </si>
  <si>
    <t>{GOTO}AE26~{?}~</t>
  </si>
  <si>
    <t>{GOTO}P17~{?}~</t>
  </si>
  <si>
    <t>5. Operations Data Is For What Year?</t>
  </si>
  <si>
    <t>COMBINED</t>
  </si>
  <si>
    <t>{GOTO}W44~{?}~{GOTO}W45~{?}~</t>
  </si>
  <si>
    <t>{GOTO}AE28~{?}~</t>
  </si>
  <si>
    <t>{GOTO}P19~{?}~{PGDN}~</t>
  </si>
  <si>
    <t xml:space="preserve">   Operations Projected To What Year?</t>
  </si>
  <si>
    <t>EACH RAILWAY</t>
  </si>
  <si>
    <t>{GOTO}W46~{?}~{CALC}{GOTO}ROAD~</t>
  </si>
  <si>
    <t>{GOTO}AE30~{?}~</t>
  </si>
  <si>
    <t>{DOWN}{DOWN}{GOTO}P41~{?}~</t>
  </si>
  <si>
    <t>Site Location</t>
  </si>
  <si>
    <t xml:space="preserve">   Growth Rate in %/yr.</t>
  </si>
  <si>
    <t>{GOTO}R7~{?}~{GOTO}X11~{?}~</t>
  </si>
  <si>
    <t>{GOTO}AE33~{?}~{CALC}</t>
  </si>
  <si>
    <t>{GOTO}P43~{?}~</t>
  </si>
  <si>
    <t>AUTO DNL</t>
  </si>
  <si>
    <t>Current</t>
  </si>
  <si>
    <t>RAILWAYS 1 &amp; 2</t>
  </si>
  <si>
    <t>{GOTO}X12~{?}~{GOTO}X15~{?}~</t>
  </si>
  <si>
    <t>{GOTO}P47~{?}~</t>
  </si>
  <si>
    <t>Program</t>
  </si>
  <si>
    <t>6. Interpolations if within map contours</t>
  </si>
  <si>
    <t>Future</t>
  </si>
  <si>
    <t>RAILWAYS 2 &amp; 3</t>
  </si>
  <si>
    <t>{GOTO}X17~{?}~{GOTO}X20~{?}~{PGDN}~</t>
  </si>
  <si>
    <t>{GOTO}P48~{?}~</t>
  </si>
  <si>
    <t xml:space="preserve">    a. Between 65 &amp; 70</t>
  </si>
  <si>
    <t>RAILWAYS 1,2, &amp; 3</t>
  </si>
  <si>
    <t>{GOTO}X21~{?}~{GOTO}X22~{?}~</t>
  </si>
  <si>
    <t>{GOTO}P49~{?}~</t>
  </si>
  <si>
    <t>Project Name</t>
  </si>
  <si>
    <t xml:space="preserve">       i. distance to 65 contour</t>
  </si>
  <si>
    <t>TRUCK DNL</t>
  </si>
  <si>
    <t>RAILWAYS &amp; CTA</t>
  </si>
  <si>
    <t>{GOTO}X25~{?}~{GOTO}X27~{?}~</t>
  </si>
  <si>
    <t>{GOTO}P53~{?}~</t>
  </si>
  <si>
    <t xml:space="preserve">      ii. distance to 70 contour</t>
  </si>
  <si>
    <t>{GOTO}X33~{?}~{GOTO}X35~{?}~</t>
  </si>
  <si>
    <t>{GOTO}P54~{?}~</t>
  </si>
  <si>
    <t>Locality</t>
  </si>
  <si>
    <t xml:space="preserve">     iii. DNL</t>
  </si>
  <si>
    <t>LOTTERY NUMBER MACRO</t>
  </si>
  <si>
    <t>{GOTO}X37~{?}~{PGDN}~{GOTO}X41~{?}~</t>
  </si>
  <si>
    <t>{GOTO}P57~{?}~</t>
  </si>
  <si>
    <t xml:space="preserve">    b. Between 75 &amp; 70</t>
  </si>
  <si>
    <t>Trucks &amp; Cars</t>
  </si>
  <si>
    <t>{GOTO}X44~{?}~{GOTO}X45~{?}~</t>
  </si>
  <si>
    <t>{GOTO}P58~{?}~</t>
  </si>
  <si>
    <t>File Number</t>
  </si>
  <si>
    <t xml:space="preserve">       i. distance to 70 contour</t>
  </si>
  <si>
    <t>/RNCNUMBER~BB60~</t>
  </si>
  <si>
    <t>{GOTO}X46~{?}~{CALC}{GOTO}ROAD~</t>
  </si>
  <si>
    <t>____________________________________________________________________________</t>
  </si>
  <si>
    <t xml:space="preserve">      ii. distance to 75 contour</t>
  </si>
  <si>
    <t xml:space="preserve">      R A I L W A Y S</t>
  </si>
  <si>
    <t>/RNCCOUNTER~BB59~/WGRM</t>
  </si>
  <si>
    <t>{GOTO}COUNTER~0~+COUNTER+1~</t>
  </si>
  <si>
    <t>Sponsor's Name</t>
  </si>
  <si>
    <t>Phone</t>
  </si>
  <si>
    <t>Roads 1 &amp; 2</t>
  </si>
  <si>
    <t>LOOKUP TABLE FOR</t>
  </si>
  <si>
    <t>{goto}NUMBER~</t>
  </si>
  <si>
    <t>7. Summary of Airport DNL</t>
  </si>
  <si>
    <t>DIESEL CALCULATIONS</t>
  </si>
  <si>
    <t>ADJUSTMENT TO</t>
  </si>
  <si>
    <t>@RAND*100~</t>
  </si>
  <si>
    <t>Street Address</t>
  </si>
  <si>
    <t>City/St.</t>
  </si>
  <si>
    <t>BARRIER ATTEN.</t>
  </si>
  <si>
    <t>/XIBB60&gt;44~/XGAX60~</t>
  </si>
  <si>
    <t>8. Total DNL from all airports</t>
  </si>
  <si>
    <t>Roads 3&amp;4</t>
  </si>
  <si>
    <t>LAE =</t>
  </si>
  <si>
    <t>FOR LOSS OF</t>
  </si>
  <si>
    <t>/XIBB60=0~/XGAX60~</t>
  </si>
  <si>
    <t>Acceptability Category</t>
  </si>
  <si>
    <t>DNL</t>
  </si>
  <si>
    <t>Year Predicted</t>
  </si>
  <si>
    <t>GROUND ATTEN.</t>
  </si>
  <si>
    <t>/PPRNUMBER~GQ</t>
  </si>
  <si>
    <t>WHISTLES</t>
  </si>
  <si>
    <t>-</t>
  </si>
  <si>
    <t>{GOTO}COUNTER~{CALC}~</t>
  </si>
  <si>
    <t>Roads 1, 2 &amp; 3</t>
  </si>
  <si>
    <t>D/R</t>
  </si>
  <si>
    <t>/XICOUNTER&gt;6~{GOTO}COUNTER~0~{CALC}~/WGRN/XQ</t>
  </si>
  <si>
    <t>(Circle One)</t>
  </si>
  <si>
    <t>CURRENT</t>
  </si>
  <si>
    <t>FUTURE</t>
  </si>
  <si>
    <t>Signed</t>
  </si>
  <si>
    <t>Date</t>
  </si>
  <si>
    <t>/XGAX60~</t>
  </si>
  <si>
    <t>RAILWAY CARS CALCULATIONS/ADJUSTMENTS</t>
  </si>
  <si>
    <t>1. Roadway Noise:</t>
  </si>
  <si>
    <t xml:space="preserve">   A    NU    U</t>
  </si>
  <si>
    <t>Roads 1,2,3 &amp; 4</t>
  </si>
  <si>
    <t>2. Aircraft Noise:</t>
  </si>
  <si>
    <t>COMPLETE</t>
  </si>
  <si>
    <t>{goto}R4~/RER4.R7~</t>
  </si>
  <si>
    <t>N</t>
  </si>
  <si>
    <t>/XLNAME OF ROAD~R4~</t>
  </si>
  <si>
    <t>BOLTED RAIL ADJ</t>
  </si>
  <si>
    <t>{goto}U11~/REU11.X12~</t>
  </si>
  <si>
    <t>/XNIF TO CENTER ENTER</t>
  </si>
  <si>
    <t>3. Railway Noise:</t>
  </si>
  <si>
    <t>{goto}U15~/REU15.X15~</t>
  </si>
  <si>
    <t>SAME VALUE IN U11&amp;12~U11~</t>
  </si>
  <si>
    <t>Auto LAE</t>
  </si>
  <si>
    <t>{goto}U17~/REU17.X17~</t>
  </si>
  <si>
    <t>LAE (ELEC)=</t>
  </si>
  <si>
    <t>{goto}U20~/REU20.X22~</t>
  </si>
  <si>
    <t>SAME VALUE IN U11&amp;12~U12~</t>
  </si>
  <si>
    <t>Combined DNL</t>
  </si>
  <si>
    <t>LAE (DIESEL)=</t>
  </si>
  <si>
    <t>{goto}U25~/REU25.X25~</t>
  </si>
  <si>
    <t>/XNIF NO STOP SIGN</t>
  </si>
  <si>
    <t>___________________________________________________________________________</t>
  </si>
  <si>
    <t>Trucks</t>
  </si>
  <si>
    <t>{goto}U27~/REU27.X27~</t>
  </si>
  <si>
    <t>ENTER 1000~U15~</t>
  </si>
  <si>
    <t>uphill</t>
  </si>
  <si>
    <t>{goto}U33~/REU33.X33~</t>
  </si>
  <si>
    <t>/XN% = HEIGHT/LENGTH~U17~</t>
  </si>
  <si>
    <t>FINAL SITE EVALUATION:</t>
  </si>
  <si>
    <t>ACCEPTABLE</t>
  </si>
  <si>
    <t>X</t>
  </si>
  <si>
    <t>{goto}U35~/REU35.X35~</t>
  </si>
  <si>
    <t xml:space="preserve">/XNIF NO DATA USE </t>
  </si>
  <si>
    <t>{goto}U37~/REU37.X37~</t>
  </si>
  <si>
    <t>SPEED LIMIT~U20~</t>
  </si>
  <si>
    <t>NORMALLY UNACCEPTABLE</t>
  </si>
  <si>
    <t>(65-75dB)</t>
  </si>
  <si>
    <t>{goto}U41~/REU41.X41~</t>
  </si>
  <si>
    <t>\C</t>
  </si>
  <si>
    <t>downhill</t>
  </si>
  <si>
    <t>{goto}U44~/REU44.X46~{GOTO}ROAD~</t>
  </si>
  <si>
    <t>SPEED LIMIT~U21~</t>
  </si>
  <si>
    <t>UNACCEPTABLE</t>
  </si>
  <si>
    <t xml:space="preserve">Current </t>
  </si>
  <si>
    <t>List All CTA Lines within 3000 feet of the site:</t>
  </si>
  <si>
    <t>{goto}Z5~/REZ5.Z7~</t>
  </si>
  <si>
    <t>{goto}AC12~/REAC12.AE12~</t>
  </si>
  <si>
    <t>SPEED LIMIT~U22~</t>
  </si>
  <si>
    <t>CLEAR PROJECT SUMMARY (CASE#,SPONSOR) INCL DNLs</t>
  </si>
  <si>
    <t>CLEAR WORKSHEET B - ROADWAY NOISE</t>
  </si>
  <si>
    <t>CLEAR WORKSHEET C - RAILWAY NOISE</t>
  </si>
  <si>
    <t>CLEAR CTA ELEVATED RAPID TRANSIT LINES</t>
  </si>
  <si>
    <t>CLEAR WORKSHEET A - AIRCRAFT NOISE</t>
  </si>
  <si>
    <t>CLEAR WORKSHEET   -  BARRIER ANALYSIS</t>
  </si>
  <si>
    <t>ERASE ALL WORKSHEET DATA</t>
  </si>
  <si>
    <t>{goto}AC15~/REAC15.AE16~</t>
  </si>
  <si>
    <t>/XNAVERAGE DAILY TRAFFIC~U25~</t>
  </si>
  <si>
    <t>{goto}C49~/REC49~</t>
  </si>
  <si>
    <t>{goto}Z85~/REZ85.Z87~</t>
  </si>
  <si>
    <t>{goto}J5~/REJ5.J7~</t>
  </si>
  <si>
    <t>{goto}AN6~/REAN6.AN10~</t>
  </si>
  <si>
    <t>dB MINIMUM ATTENTUATION FOR FIGURE 19 REQUIRED.</t>
  </si>
  <si>
    <t>TRUCK ADJUSTED ADT</t>
  </si>
  <si>
    <t>{goto}AC19~/REAC19.AE19~</t>
  </si>
  <si>
    <t>/XNIF NO DATA ASSUME</t>
  </si>
  <si>
    <t>{goto}C51~/REC51~</t>
  </si>
  <si>
    <t>{goto}AC91~/REAC91.AE91~</t>
  </si>
  <si>
    <t>{goto}N11~/REN11.P11~</t>
  </si>
  <si>
    <t>{calc}</t>
  </si>
  <si>
    <t>{goto}AC22~/REAC22.AE22~</t>
  </si>
  <si>
    <t>= HEAVY TRUCKS~U27~</t>
  </si>
  <si>
    <t>{goto}C53~/REC53~</t>
  </si>
  <si>
    <t>{goto}AC93~/REAC93.AE93~</t>
  </si>
  <si>
    <t>{goto}N13~/REN13.P13~</t>
  </si>
  <si>
    <t xml:space="preserve">  uphill</t>
  </si>
  <si>
    <t>{goto}AC25~/REAC25.AE26~</t>
  </si>
  <si>
    <t xml:space="preserve">/XNHEAVY TRUCKS - OVER 13 TONS </t>
  </si>
  <si>
    <t>{goto}C55~/REC55~</t>
  </si>
  <si>
    <t>{goto}AC96~/REAC96.AE96~</t>
  </si>
  <si>
    <t>{goto}N17~/REN17.P17~</t>
  </si>
  <si>
    <t>{goto}AC28~/REAC28.AE28~</t>
  </si>
  <si>
    <t>&amp; 3 AXLES~U33~</t>
  </si>
  <si>
    <t>{goto}C57~/REC57~</t>
  </si>
  <si>
    <t>{goto}AC98~/REAC98.AE98~{GOTO}CTA~</t>
  </si>
  <si>
    <t>{goto}N19~/REN19.P19~</t>
  </si>
  <si>
    <t>{goto}AC30~/REAC30.AE30~</t>
  </si>
  <si>
    <t>{goto}C60~/REC60~</t>
  </si>
  <si>
    <t>{goto}N41~/REN41.P41~</t>
  </si>
  <si>
    <t xml:space="preserve">    Stop &amp; Go</t>
  </si>
  <si>
    <t>1. Number of trains in 24 hrs:</t>
  </si>
  <si>
    <t>{goto}AC33~/REAC33.AE33~{GOTO}RAIL~</t>
  </si>
  <si>
    <t>&amp; 3 AXLES~U35~</t>
  </si>
  <si>
    <t>{goto}C62~/REC62~</t>
  </si>
  <si>
    <t>{goto}N43~/REN43.P43~</t>
  </si>
  <si>
    <t>{GOTO}U37~{?}~</t>
  </si>
  <si>
    <t>{goto}G60~/REG60~</t>
  </si>
  <si>
    <t>{goto}N47~/REN47.P49~</t>
  </si>
  <si>
    <t>2. Wayside Noise (From Map &amp; Chart)</t>
  </si>
  <si>
    <t>/XNIF NO DATA ASSUME.15~U41~</t>
  </si>
  <si>
    <t>{goto}G62~/REG62~{GOTO}SITE~</t>
  </si>
  <si>
    <t>{goto}N53~/REN53.P54~</t>
  </si>
  <si>
    <t xml:space="preserve">    gradient</t>
  </si>
  <si>
    <t>/XNDATE OF YOUR DATA SOURCE~U44~</t>
  </si>
  <si>
    <t>{goto}N57~/REN57.P58~</t>
  </si>
  <si>
    <t>Signature  __________________________</t>
  </si>
  <si>
    <t>Date _______________</t>
  </si>
  <si>
    <t>/XN10 YEARS INTO FUTURE~U45~</t>
  </si>
  <si>
    <t xml:space="preserve">  downhill</t>
  </si>
  <si>
    <t>/XN0 IF DECAY,2 - NORMAL,3+ -</t>
  </si>
  <si>
    <t xml:space="preserve">    stop &amp; Go</t>
  </si>
  <si>
    <t xml:space="preserve"> RAPID GROWTH~U46~</t>
  </si>
  <si>
    <t>4. Average Train speed:</t>
  </si>
  <si>
    <t>SPEED ADJUSTMENTS</t>
  </si>
  <si>
    <t>{goto}N17~/REN17.P18~</t>
  </si>
  <si>
    <t xml:space="preserve">mph to </t>
  </si>
  <si>
    <t xml:space="preserve"> (meters/sec)</t>
  </si>
  <si>
    <t>{goto}N29~/REN29.P29~</t>
  </si>
  <si>
    <t>\I</t>
  </si>
  <si>
    <t>/riPROJ~</t>
  </si>
  <si>
    <t>{goto}N31~/REN31.P31~</t>
  </si>
  <si>
    <t>DISTANCE B INTERPOLATION</t>
  </si>
  <si>
    <t>{goto}N35~/REN35.P35~{GOTO}AIR~</t>
  </si>
  <si>
    <t>\A</t>
  </si>
  <si>
    <t>/riROAD~</t>
  </si>
  <si>
    <t xml:space="preserve">       (PROJECTED)</t>
  </si>
  <si>
    <t>\T</t>
  </si>
  <si>
    <t>/riRAIL~</t>
  </si>
  <si>
    <t>\P</t>
  </si>
  <si>
    <t>{CALC}/ppcfrPROJ~os\0272\018~qagp</t>
  </si>
  <si>
    <t>AUTOMOBILE ADJUSTMENTS</t>
  </si>
  <si>
    <t>rRAIL~g</t>
  </si>
  <si>
    <t>rROAD~gpq{BEEP}{BEEP 4}</t>
  </si>
  <si>
    <t>Stop and go</t>
  </si>
  <si>
    <t>\H</t>
  </si>
  <si>
    <t>/ppcfrHELP~os\0272\018~qagpq{BEEP}{HOME}</t>
  </si>
  <si>
    <t>{goto}H62~/REH62~{GOTO}SITE~</t>
  </si>
  <si>
    <t>DATA INPUT MACROS</t>
  </si>
  <si>
    <t>E</t>
  </si>
  <si>
    <t>F</t>
  </si>
  <si>
    <t xml:space="preserve">       (CURRENT)</t>
  </si>
  <si>
    <t>TRUCK ADJUSTMENTS</t>
  </si>
  <si>
    <t>STOP &amp; GO</t>
  </si>
  <si>
    <t xml:space="preserve"> uphill</t>
  </si>
  <si>
    <t>{GOTO}U20~{?}~</t>
  </si>
  <si>
    <t/>
  </si>
  <si>
    <t>{GOTO}U46~{?}~</t>
  </si>
  <si>
    <t xml:space="preserve"> downhill</t>
  </si>
  <si>
    <t>Gradient</t>
  </si>
  <si>
    <t>SPEED</t>
  </si>
  <si>
    <t>&lt;= 50 MPH</t>
  </si>
  <si>
    <t>&gt; 50 MPH</t>
  </si>
  <si>
    <t>up</t>
  </si>
  <si>
    <t>down</t>
  </si>
  <si>
    <t>PRINT WORKSHEETS</t>
  </si>
  <si>
    <t>PRINT PROJECT SUMMARY (CASE#,SPONSOR) INCL DNLs</t>
  </si>
  <si>
    <t>PRINT WORKSHEET B - ROADWAYNOISE</t>
  </si>
  <si>
    <t>PRINT WORKSHEET C - RAILWAY NOISE</t>
  </si>
  <si>
    <t>PRINT CTA ELEVATED RAPID TRANSIT LINES</t>
  </si>
  <si>
    <t>PRINT WORKSHEET A - AIRCRAFT NOISE</t>
  </si>
  <si>
    <t>PRINT WORKSHEET   -  BARRIER ANALYSIS</t>
  </si>
  <si>
    <t>PRINT ALL WORKSHEETS</t>
  </si>
  <si>
    <t>{CALC}/PPARPROJ~GpQ</t>
  </si>
  <si>
    <t>{CALC}/PPARROADPR~GpQ</t>
  </si>
  <si>
    <t>{CALC}/PPARY1.AF55~GpQ</t>
  </si>
  <si>
    <t>{CALC}/PPARCTA~GQ</t>
  </si>
  <si>
    <t>{CALC}/PPARAIR~GQ</t>
  </si>
  <si>
    <t>{CALC}/PPARAG1.AN27~GQ</t>
  </si>
  <si>
    <t>{CALC}/PPARPROJ~GQ</t>
  </si>
  <si>
    <t>/PPARAW1.BD40~GQ{GOTO}AW1~</t>
  </si>
  <si>
    <t>{CALC}/PPARROADPR~GQ</t>
  </si>
  <si>
    <t>{CALC}/PPARY1.AF55~GQ</t>
  </si>
  <si>
    <t>{CALC}/PPARAG1.AN20~GQ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</si>
</sst>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_)"/>
    <numFmt numFmtId="165" formatCode="0_)"/>
    <numFmt numFmtId="166" formatCode="0.00_)"/>
    <numFmt numFmtId="167" formatCode="0.0_)"/>
    <numFmt numFmtId="168" formatCode="dd\-mmm\-yy_)"/>
    <numFmt numFmtId="169" formatCode=";;;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right"/>
      <protection/>
    </xf>
    <xf numFmtId="0" fontId="5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 locked="0"/>
    </xf>
    <xf numFmtId="165" fontId="5" fillId="0" borderId="0" xfId="0" applyNumberFormat="1" applyFont="1" applyAlignment="1" applyProtection="1">
      <alignment horizontal="left"/>
      <protection locked="0"/>
    </xf>
    <xf numFmtId="165" fontId="5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5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 horizontal="left"/>
      <protection/>
    </xf>
    <xf numFmtId="9" fontId="5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6" fontId="5" fillId="0" borderId="0" xfId="0" applyNumberFormat="1" applyFont="1" applyAlignment="1" applyProtection="1">
      <alignment horizontal="left"/>
      <protection locked="0"/>
    </xf>
    <xf numFmtId="167" fontId="0" fillId="0" borderId="0" xfId="0" applyNumberFormat="1" applyAlignment="1" applyProtection="1">
      <alignment horizontal="center"/>
      <protection/>
    </xf>
    <xf numFmtId="167" fontId="5" fillId="0" borderId="0" xfId="0" applyNumberFormat="1" applyFont="1" applyAlignment="1" applyProtection="1">
      <alignment/>
      <protection locked="0"/>
    </xf>
    <xf numFmtId="169" fontId="0" fillId="0" borderId="0" xfId="0" applyNumberFormat="1" applyAlignment="1" applyProtection="1">
      <alignment horizontal="left"/>
      <protection/>
    </xf>
    <xf numFmtId="169" fontId="0" fillId="0" borderId="0" xfId="0" applyNumberFormat="1" applyAlignment="1" applyProtection="1">
      <alignment horizontal="fill"/>
      <protection/>
    </xf>
    <xf numFmtId="167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167" fontId="5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P181"/>
  <sheetViews>
    <sheetView showGridLines="0" tabSelected="1" workbookViewId="0" topLeftCell="X1">
      <selection activeCell="Y1" sqref="Y1"/>
    </sheetView>
  </sheetViews>
  <sheetFormatPr defaultColWidth="9.625" defaultRowHeight="12.75"/>
  <cols>
    <col min="1" max="1" width="10.625" style="0" customWidth="1"/>
    <col min="17" max="17" width="9.625" style="0" customWidth="1"/>
    <col min="49" max="49" width="9.625" style="0" customWidth="1"/>
    <col min="57" max="64" width="20.625" style="0" customWidth="1"/>
  </cols>
  <sheetData>
    <row r="1" spans="1:68" ht="12">
      <c r="A1" s="1" t="s">
        <v>0</v>
      </c>
      <c r="C1" s="1" t="s">
        <v>1</v>
      </c>
      <c r="H1" s="2">
        <f>DATE(85,4,15)</f>
        <v>31152</v>
      </c>
      <c r="I1" s="1" t="s">
        <v>2</v>
      </c>
      <c r="Q1" s="1" t="s">
        <v>3</v>
      </c>
      <c r="Y1" s="1" t="s">
        <v>4</v>
      </c>
      <c r="AB1" s="1" t="s">
        <v>5</v>
      </c>
      <c r="AG1" s="3" t="s">
        <v>6</v>
      </c>
      <c r="AH1" s="4"/>
      <c r="AI1" s="4"/>
      <c r="AJ1" s="3" t="s">
        <v>7</v>
      </c>
      <c r="AK1" s="4"/>
      <c r="AL1" s="4"/>
      <c r="AM1" s="4"/>
      <c r="AN1" s="4"/>
      <c r="AR1" s="1" t="s">
        <v>8</v>
      </c>
      <c r="AZ1" s="1" t="s">
        <v>9</v>
      </c>
      <c r="BE1" s="1" t="s">
        <v>10</v>
      </c>
      <c r="BF1" s="1" t="s">
        <v>11</v>
      </c>
      <c r="BG1" s="3" t="s">
        <v>12</v>
      </c>
      <c r="BH1" s="3" t="s">
        <v>13</v>
      </c>
      <c r="BI1" s="3" t="s">
        <v>14</v>
      </c>
      <c r="BJ1" s="3" t="s">
        <v>15</v>
      </c>
      <c r="BK1" s="3" t="s">
        <v>16</v>
      </c>
      <c r="BL1" s="4"/>
      <c r="BM1" s="4"/>
      <c r="BN1" s="4"/>
      <c r="BO1" s="4"/>
      <c r="BP1" s="4"/>
    </row>
    <row r="2" spans="1:68" ht="12">
      <c r="A2" s="1" t="s">
        <v>17</v>
      </c>
      <c r="C2" s="1" t="s">
        <v>18</v>
      </c>
      <c r="I2" s="1" t="s">
        <v>19</v>
      </c>
      <c r="AH2" s="4"/>
      <c r="AI2" s="4"/>
      <c r="AJ2" s="4"/>
      <c r="AK2" s="4"/>
      <c r="AL2" s="4"/>
      <c r="AM2" s="4"/>
      <c r="AN2" s="4"/>
      <c r="BF2" s="3" t="s">
        <v>20</v>
      </c>
      <c r="BG2" s="3" t="s">
        <v>21</v>
      </c>
      <c r="BH2" s="3" t="s">
        <v>22</v>
      </c>
      <c r="BI2" s="3" t="s">
        <v>23</v>
      </c>
      <c r="BJ2" s="3" t="s">
        <v>24</v>
      </c>
      <c r="BK2" s="3" t="s">
        <v>25</v>
      </c>
      <c r="BL2" s="4"/>
      <c r="BM2" s="4"/>
      <c r="BN2" s="4"/>
      <c r="BO2" s="4"/>
      <c r="BP2" s="4"/>
    </row>
    <row r="3" spans="1:68" ht="12">
      <c r="A3" s="1" t="s">
        <v>26</v>
      </c>
      <c r="I3" s="5" t="s">
        <v>27</v>
      </c>
      <c r="J3" s="5" t="s">
        <v>27</v>
      </c>
      <c r="K3" s="5" t="s">
        <v>27</v>
      </c>
      <c r="L3" s="5" t="s">
        <v>27</v>
      </c>
      <c r="M3" s="5" t="s">
        <v>27</v>
      </c>
      <c r="N3" s="5" t="s">
        <v>27</v>
      </c>
      <c r="O3" s="5" t="s">
        <v>27</v>
      </c>
      <c r="P3" s="5" t="s">
        <v>27</v>
      </c>
      <c r="Q3" s="1" t="s">
        <v>28</v>
      </c>
      <c r="Y3" s="1" t="s">
        <v>29</v>
      </c>
      <c r="AG3" s="3" t="s">
        <v>30</v>
      </c>
      <c r="AH3" s="4"/>
      <c r="AI3" s="4"/>
      <c r="AJ3" s="4"/>
      <c r="AK3" s="4"/>
      <c r="AL3" s="4"/>
      <c r="AM3" s="4"/>
      <c r="AN3" s="4"/>
      <c r="AW3" s="1" t="s">
        <v>31</v>
      </c>
      <c r="BF3" s="3" t="s">
        <v>32</v>
      </c>
      <c r="BG3" s="3" t="s">
        <v>33</v>
      </c>
      <c r="BH3" s="3" t="s">
        <v>34</v>
      </c>
      <c r="BI3" s="3" t="s">
        <v>35</v>
      </c>
      <c r="BJ3" s="3" t="s">
        <v>36</v>
      </c>
      <c r="BK3" s="3" t="s">
        <v>37</v>
      </c>
      <c r="BL3" s="4"/>
      <c r="BM3" s="4"/>
      <c r="BN3" s="4"/>
      <c r="BO3" s="4"/>
      <c r="BP3" s="4"/>
    </row>
    <row r="4" spans="2:68" ht="12">
      <c r="B4" s="1" t="s">
        <v>38</v>
      </c>
      <c r="I4" s="1" t="s">
        <v>39</v>
      </c>
      <c r="Q4" s="6" t="s">
        <v>40</v>
      </c>
      <c r="R4" s="7" t="s">
        <v>27</v>
      </c>
      <c r="AG4" s="4"/>
      <c r="AH4" s="4"/>
      <c r="AI4" s="4"/>
      <c r="AJ4" s="4"/>
      <c r="AK4" s="4"/>
      <c r="AL4" s="4"/>
      <c r="AM4" s="4"/>
      <c r="AN4" s="4"/>
      <c r="AO4" s="1" t="s">
        <v>41</v>
      </c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9:64" ht="12">
      <c r="I5" s="6" t="s">
        <v>40</v>
      </c>
      <c r="J5" s="4"/>
      <c r="Q5" s="6" t="s">
        <v>42</v>
      </c>
      <c r="R5" s="7" t="s">
        <v>27</v>
      </c>
      <c r="Y5" s="6" t="s">
        <v>40</v>
      </c>
      <c r="Z5" s="7" t="s">
        <v>27</v>
      </c>
      <c r="AG5" s="8" t="s">
        <v>43</v>
      </c>
      <c r="AH5" s="1" t="s">
        <v>44</v>
      </c>
      <c r="AM5" s="6" t="s">
        <v>45</v>
      </c>
      <c r="AN5" s="4"/>
      <c r="AW5" s="1" t="s">
        <v>46</v>
      </c>
      <c r="AX5" s="8" t="s">
        <v>47</v>
      </c>
      <c r="BE5" s="1" t="s">
        <v>12</v>
      </c>
      <c r="BF5" s="1" t="s">
        <v>48</v>
      </c>
      <c r="BG5" s="1" t="s">
        <v>49</v>
      </c>
      <c r="BH5" s="1" t="s">
        <v>50</v>
      </c>
      <c r="BI5" s="1" t="s">
        <v>51</v>
      </c>
      <c r="BJ5" s="1" t="s">
        <v>52</v>
      </c>
      <c r="BK5" s="1" t="s">
        <v>53</v>
      </c>
      <c r="BL5" s="1" t="s">
        <v>9</v>
      </c>
    </row>
    <row r="6" spans="1:64" ht="12">
      <c r="A6" s="9" t="s">
        <v>40</v>
      </c>
      <c r="B6" s="3" t="s">
        <v>54</v>
      </c>
      <c r="I6" s="6" t="s">
        <v>42</v>
      </c>
      <c r="J6" s="4"/>
      <c r="Q6" s="6" t="s">
        <v>55</v>
      </c>
      <c r="R6" s="7" t="s">
        <v>27</v>
      </c>
      <c r="Y6" s="6" t="s">
        <v>42</v>
      </c>
      <c r="Z6" s="7" t="s">
        <v>27</v>
      </c>
      <c r="AG6" s="8" t="s">
        <v>56</v>
      </c>
      <c r="AH6" s="1" t="s">
        <v>57</v>
      </c>
      <c r="AM6" s="6" t="s">
        <v>58</v>
      </c>
      <c r="AN6" s="4"/>
      <c r="AO6" s="1" t="s">
        <v>59</v>
      </c>
      <c r="AU6" s="8" t="s">
        <v>60</v>
      </c>
      <c r="BE6" s="1" t="s">
        <v>61</v>
      </c>
      <c r="BF6" s="1" t="s">
        <v>62</v>
      </c>
      <c r="BG6" s="1" t="s">
        <v>63</v>
      </c>
      <c r="BH6" s="1" t="s">
        <v>64</v>
      </c>
      <c r="BI6" s="1" t="s">
        <v>65</v>
      </c>
      <c r="BJ6" s="1" t="s">
        <v>66</v>
      </c>
      <c r="BK6" s="1" t="s">
        <v>67</v>
      </c>
      <c r="BL6" s="1" t="s">
        <v>68</v>
      </c>
    </row>
    <row r="7" spans="1:64" ht="12">
      <c r="A7" s="4"/>
      <c r="B7" s="3" t="s">
        <v>69</v>
      </c>
      <c r="I7" s="6" t="s">
        <v>55</v>
      </c>
      <c r="J7" s="4"/>
      <c r="Q7" s="6" t="s">
        <v>70</v>
      </c>
      <c r="R7" s="7" t="s">
        <v>27</v>
      </c>
      <c r="Y7" s="6" t="s">
        <v>55</v>
      </c>
      <c r="Z7" s="7" t="s">
        <v>27</v>
      </c>
      <c r="AG7" s="8" t="s">
        <v>71</v>
      </c>
      <c r="AH7" s="1" t="s">
        <v>72</v>
      </c>
      <c r="AM7" s="6" t="s">
        <v>73</v>
      </c>
      <c r="AN7" s="4"/>
      <c r="AW7" s="1" t="s">
        <v>74</v>
      </c>
      <c r="AX7" s="8" t="s">
        <v>75</v>
      </c>
      <c r="BE7" s="1" t="s">
        <v>76</v>
      </c>
      <c r="BF7" s="1" t="s">
        <v>77</v>
      </c>
      <c r="BG7" s="1" t="s">
        <v>78</v>
      </c>
      <c r="BH7" s="1" t="s">
        <v>79</v>
      </c>
      <c r="BI7" s="1" t="s">
        <v>80</v>
      </c>
      <c r="BJ7" s="1" t="s">
        <v>81</v>
      </c>
      <c r="BK7" s="1" t="s">
        <v>82</v>
      </c>
      <c r="BL7" s="1" t="s">
        <v>83</v>
      </c>
    </row>
    <row r="8" spans="1:47" ht="12">
      <c r="A8" s="4"/>
      <c r="B8" s="3" t="s">
        <v>84</v>
      </c>
      <c r="U8" s="8" t="s">
        <v>85</v>
      </c>
      <c r="V8" s="1" t="s">
        <v>86</v>
      </c>
      <c r="W8" s="1" t="s">
        <v>87</v>
      </c>
      <c r="X8" s="1" t="s">
        <v>88</v>
      </c>
      <c r="AG8" s="8" t="s">
        <v>89</v>
      </c>
      <c r="AH8" s="1" t="s">
        <v>90</v>
      </c>
      <c r="AM8" s="6" t="s">
        <v>91</v>
      </c>
      <c r="AN8" s="4"/>
      <c r="AO8" s="1" t="s">
        <v>92</v>
      </c>
      <c r="AU8" s="8" t="s">
        <v>93</v>
      </c>
    </row>
    <row r="9" spans="1:59" ht="12">
      <c r="A9" s="4"/>
      <c r="B9" s="4"/>
      <c r="I9" s="1" t="s">
        <v>94</v>
      </c>
      <c r="N9" s="8" t="s">
        <v>95</v>
      </c>
      <c r="O9" s="8" t="s">
        <v>96</v>
      </c>
      <c r="P9" s="8" t="s">
        <v>97</v>
      </c>
      <c r="Q9" s="1" t="s">
        <v>98</v>
      </c>
      <c r="Y9" s="1" t="s">
        <v>99</v>
      </c>
      <c r="AC9" s="1" t="s">
        <v>100</v>
      </c>
      <c r="AD9" s="1" t="s">
        <v>101</v>
      </c>
      <c r="AE9" s="1" t="s">
        <v>102</v>
      </c>
      <c r="AG9" s="8" t="s">
        <v>103</v>
      </c>
      <c r="AH9" s="1" t="s">
        <v>104</v>
      </c>
      <c r="AM9" s="6" t="s">
        <v>105</v>
      </c>
      <c r="AN9" s="4"/>
      <c r="AW9" s="1" t="s">
        <v>106</v>
      </c>
      <c r="AX9" s="8" t="s">
        <v>107</v>
      </c>
      <c r="BE9" s="1" t="s">
        <v>13</v>
      </c>
      <c r="BF9" s="1" t="s">
        <v>108</v>
      </c>
      <c r="BG9" s="1" t="s">
        <v>34</v>
      </c>
    </row>
    <row r="10" spans="1:47" ht="12">
      <c r="A10" s="9" t="s">
        <v>42</v>
      </c>
      <c r="B10" s="3" t="s">
        <v>109</v>
      </c>
      <c r="Q10" s="1" t="s">
        <v>110</v>
      </c>
      <c r="AG10" s="1" t="s">
        <v>111</v>
      </c>
      <c r="AH10" s="1" t="s">
        <v>112</v>
      </c>
      <c r="AM10" s="1" t="s">
        <v>113</v>
      </c>
      <c r="AN10" s="4"/>
      <c r="AO10" s="1" t="s">
        <v>114</v>
      </c>
      <c r="AU10" s="8" t="s">
        <v>47</v>
      </c>
    </row>
    <row r="11" spans="1:62" ht="12">
      <c r="A11" s="4"/>
      <c r="B11" s="3" t="s">
        <v>115</v>
      </c>
      <c r="I11" s="1" t="s">
        <v>116</v>
      </c>
      <c r="N11" s="4"/>
      <c r="O11" s="4"/>
      <c r="P11" s="4"/>
      <c r="Q11" s="1" t="s">
        <v>117</v>
      </c>
      <c r="U11" s="10">
        <v>200</v>
      </c>
      <c r="V11" s="10" t="s">
        <v>118</v>
      </c>
      <c r="W11" s="10" t="s">
        <v>118</v>
      </c>
      <c r="X11" s="10" t="s">
        <v>118</v>
      </c>
      <c r="Y11" s="1" t="s">
        <v>119</v>
      </c>
      <c r="AH11" s="1" t="s">
        <v>120</v>
      </c>
      <c r="AW11" s="1" t="s">
        <v>121</v>
      </c>
      <c r="AX11" s="8" t="s">
        <v>122</v>
      </c>
      <c r="BE11" s="1" t="s">
        <v>48</v>
      </c>
      <c r="BF11" s="1" t="s">
        <v>49</v>
      </c>
      <c r="BG11" s="1" t="s">
        <v>123</v>
      </c>
      <c r="BH11" s="1" t="s">
        <v>124</v>
      </c>
      <c r="BI11" s="1" t="s">
        <v>52</v>
      </c>
      <c r="BJ11" s="1" t="s">
        <v>51</v>
      </c>
    </row>
    <row r="12" spans="17:62" ht="12">
      <c r="Q12" s="1" t="s">
        <v>125</v>
      </c>
      <c r="U12" s="10">
        <v>250</v>
      </c>
      <c r="V12" s="10" t="s">
        <v>118</v>
      </c>
      <c r="W12" s="10" t="s">
        <v>118</v>
      </c>
      <c r="X12" s="10" t="s">
        <v>118</v>
      </c>
      <c r="Y12" s="1" t="s">
        <v>126</v>
      </c>
      <c r="AC12" s="3" t="s">
        <v>118</v>
      </c>
      <c r="AD12" s="3" t="s">
        <v>118</v>
      </c>
      <c r="AO12" s="1" t="s">
        <v>127</v>
      </c>
      <c r="AU12" s="8" t="s">
        <v>128</v>
      </c>
      <c r="BE12" s="1" t="s">
        <v>129</v>
      </c>
      <c r="BF12" s="1" t="s">
        <v>130</v>
      </c>
      <c r="BG12" s="1" t="s">
        <v>131</v>
      </c>
      <c r="BH12" s="1" t="s">
        <v>132</v>
      </c>
      <c r="BI12" s="1" t="s">
        <v>133</v>
      </c>
      <c r="BJ12" s="1" t="s">
        <v>134</v>
      </c>
    </row>
    <row r="13" spans="1:62" ht="12">
      <c r="A13" s="9" t="s">
        <v>55</v>
      </c>
      <c r="B13" s="3" t="s">
        <v>135</v>
      </c>
      <c r="I13" s="1" t="s">
        <v>136</v>
      </c>
      <c r="N13" s="4"/>
      <c r="O13" s="4"/>
      <c r="P13" s="4"/>
      <c r="Q13" s="1" t="s">
        <v>137</v>
      </c>
      <c r="U13" s="11">
        <f>(+U11+U12)/2</f>
        <v>225</v>
      </c>
      <c r="V13" s="11">
        <f>(+V11+V12)/2</f>
        <v>0</v>
      </c>
      <c r="W13" s="11">
        <f>(+W11+W12)/2</f>
        <v>0</v>
      </c>
      <c r="X13" s="11">
        <f>(+X11+X12)/2</f>
        <v>0</v>
      </c>
      <c r="AG13" s="8" t="s">
        <v>138</v>
      </c>
      <c r="AH13" s="1" t="s">
        <v>139</v>
      </c>
      <c r="AM13" s="6" t="s">
        <v>140</v>
      </c>
      <c r="AN13" s="12" t="e">
        <f>AH51</f>
        <v>#DIV/0!</v>
      </c>
      <c r="BE13" s="1" t="s">
        <v>77</v>
      </c>
      <c r="BF13" s="1" t="s">
        <v>141</v>
      </c>
      <c r="BG13" s="1" t="s">
        <v>79</v>
      </c>
      <c r="BH13" s="1" t="s">
        <v>142</v>
      </c>
      <c r="BI13" s="1" t="s">
        <v>143</v>
      </c>
      <c r="BJ13" s="1" t="s">
        <v>80</v>
      </c>
    </row>
    <row r="14" spans="1:62" ht="12">
      <c r="A14" s="4"/>
      <c r="B14" s="4"/>
      <c r="U14" s="13"/>
      <c r="V14" s="13"/>
      <c r="W14" s="13"/>
      <c r="X14" s="13"/>
      <c r="Y14" s="1" t="s">
        <v>144</v>
      </c>
      <c r="AH14" s="1" t="s">
        <v>145</v>
      </c>
      <c r="AN14" s="12"/>
      <c r="AO14" s="1" t="s">
        <v>146</v>
      </c>
      <c r="AU14" s="8" t="s">
        <v>147</v>
      </c>
      <c r="BE14" s="1" t="s">
        <v>148</v>
      </c>
      <c r="BF14" s="1" t="s">
        <v>149</v>
      </c>
      <c r="BG14" s="1" t="s">
        <v>150</v>
      </c>
      <c r="BH14" s="1" t="s">
        <v>151</v>
      </c>
      <c r="BI14" s="1" t="s">
        <v>152</v>
      </c>
      <c r="BJ14" s="1" t="s">
        <v>153</v>
      </c>
    </row>
    <row r="15" spans="1:62" ht="12">
      <c r="A15" s="9" t="s">
        <v>70</v>
      </c>
      <c r="B15" s="3" t="s">
        <v>154</v>
      </c>
      <c r="I15" s="1" t="s">
        <v>155</v>
      </c>
      <c r="Q15" s="1" t="s">
        <v>156</v>
      </c>
      <c r="U15" s="11">
        <v>1000</v>
      </c>
      <c r="V15" s="11">
        <v>1000</v>
      </c>
      <c r="W15" s="11">
        <v>1000</v>
      </c>
      <c r="X15" s="11">
        <v>1000</v>
      </c>
      <c r="Z15" s="1" t="s">
        <v>157</v>
      </c>
      <c r="AC15" s="3" t="s">
        <v>118</v>
      </c>
      <c r="AD15" s="3" t="s">
        <v>118</v>
      </c>
      <c r="AI15" s="1" t="s">
        <v>158</v>
      </c>
      <c r="AN15" s="12"/>
      <c r="AW15" s="1" t="s">
        <v>159</v>
      </c>
      <c r="AY15" s="6" t="s">
        <v>160</v>
      </c>
      <c r="AZ15" s="1" t="s">
        <v>161</v>
      </c>
      <c r="BE15" s="1" t="s">
        <v>162</v>
      </c>
      <c r="BF15" s="1" t="s">
        <v>163</v>
      </c>
      <c r="BG15" s="1" t="s">
        <v>164</v>
      </c>
      <c r="BH15" s="1" t="s">
        <v>165</v>
      </c>
      <c r="BI15" s="1" t="s">
        <v>166</v>
      </c>
      <c r="BJ15" s="1" t="s">
        <v>167</v>
      </c>
    </row>
    <row r="16" spans="1:62" ht="12">
      <c r="A16" s="4"/>
      <c r="B16" s="4"/>
      <c r="J16" s="1" t="s">
        <v>168</v>
      </c>
      <c r="R16" s="1" t="s">
        <v>169</v>
      </c>
      <c r="Z16" s="1" t="s">
        <v>170</v>
      </c>
      <c r="AC16" s="11">
        <v>0.01</v>
      </c>
      <c r="AD16" s="11">
        <v>0.01</v>
      </c>
      <c r="AG16" s="8" t="s">
        <v>171</v>
      </c>
      <c r="AH16" s="1" t="s">
        <v>172</v>
      </c>
      <c r="AM16" s="6" t="s">
        <v>173</v>
      </c>
      <c r="AN16" s="12" t="e">
        <f>AH54</f>
        <v>#DIV/0!</v>
      </c>
      <c r="AO16" s="1" t="s">
        <v>174</v>
      </c>
      <c r="AU16" s="8" t="s">
        <v>122</v>
      </c>
      <c r="BE16" s="1" t="s">
        <v>175</v>
      </c>
      <c r="BF16" s="1" t="s">
        <v>176</v>
      </c>
      <c r="BG16" s="1" t="s">
        <v>177</v>
      </c>
      <c r="BH16" s="1" t="s">
        <v>178</v>
      </c>
      <c r="BI16" s="1" t="s">
        <v>179</v>
      </c>
      <c r="BJ16" s="1" t="s">
        <v>180</v>
      </c>
    </row>
    <row r="17" spans="1:62" ht="12">
      <c r="A17" s="9" t="s">
        <v>181</v>
      </c>
      <c r="B17" s="3" t="s">
        <v>182</v>
      </c>
      <c r="C17" s="4"/>
      <c r="I17" s="1" t="s">
        <v>183</v>
      </c>
      <c r="N17" s="4"/>
      <c r="O17" s="4"/>
      <c r="P17" s="4"/>
      <c r="Q17" s="1" t="s">
        <v>184</v>
      </c>
      <c r="U17" s="14">
        <v>0</v>
      </c>
      <c r="V17" s="14">
        <v>0</v>
      </c>
      <c r="W17" s="14">
        <v>0</v>
      </c>
      <c r="X17" s="14">
        <v>0</v>
      </c>
      <c r="AH17" s="1" t="s">
        <v>185</v>
      </c>
      <c r="AN17" s="12"/>
      <c r="AW17" s="1" t="s">
        <v>186</v>
      </c>
      <c r="AZ17" s="1" t="s">
        <v>187</v>
      </c>
      <c r="BE17" s="1" t="s">
        <v>188</v>
      </c>
      <c r="BF17" s="1" t="s">
        <v>189</v>
      </c>
      <c r="BG17" s="1" t="s">
        <v>190</v>
      </c>
      <c r="BH17" s="1" t="s">
        <v>191</v>
      </c>
      <c r="BI17" s="1" t="s">
        <v>192</v>
      </c>
      <c r="BJ17" s="1" t="s">
        <v>193</v>
      </c>
    </row>
    <row r="18" spans="1:62" ht="12">
      <c r="A18" s="4"/>
      <c r="B18" s="3" t="s">
        <v>194</v>
      </c>
      <c r="J18" s="1" t="s">
        <v>195</v>
      </c>
      <c r="N18" s="13">
        <f>N17*(1+(N$49/100))^(+N$48-N$47)</f>
        <v>0</v>
      </c>
      <c r="O18" s="13">
        <f>O17*(1+(O$49/100))^(+O$48-O$47)</f>
        <v>0</v>
      </c>
      <c r="P18" s="13">
        <f>P17*(1+(P$49/100))^(+P$48-P$47)</f>
        <v>0</v>
      </c>
      <c r="U18" s="13"/>
      <c r="V18" s="13"/>
      <c r="W18" s="13"/>
      <c r="X18" s="13"/>
      <c r="Y18" s="1" t="s">
        <v>196</v>
      </c>
      <c r="AD18" s="1" t="s">
        <v>197</v>
      </c>
      <c r="AG18" s="8" t="s">
        <v>47</v>
      </c>
      <c r="AH18" s="1" t="s">
        <v>198</v>
      </c>
      <c r="AM18" s="6" t="s">
        <v>199</v>
      </c>
      <c r="AN18" s="12" t="e">
        <f>AH57</f>
        <v>#DIV/0!</v>
      </c>
      <c r="AW18" s="1" t="s">
        <v>200</v>
      </c>
      <c r="BE18" s="1" t="s">
        <v>201</v>
      </c>
      <c r="BF18" s="1" t="s">
        <v>202</v>
      </c>
      <c r="BG18" s="1" t="s">
        <v>203</v>
      </c>
      <c r="BH18" s="1" t="s">
        <v>204</v>
      </c>
      <c r="BI18" s="1" t="s">
        <v>205</v>
      </c>
      <c r="BJ18" s="1" t="s">
        <v>206</v>
      </c>
    </row>
    <row r="19" spans="1:62" ht="12">
      <c r="A19" s="4"/>
      <c r="C19" s="4"/>
      <c r="D19" s="4"/>
      <c r="E19" s="4"/>
      <c r="F19" s="4"/>
      <c r="G19" s="4"/>
      <c r="I19" s="1" t="s">
        <v>207</v>
      </c>
      <c r="N19" s="4"/>
      <c r="O19" s="4"/>
      <c r="P19" s="4"/>
      <c r="Q19" s="1" t="s">
        <v>208</v>
      </c>
      <c r="U19" s="15" t="s">
        <v>209</v>
      </c>
      <c r="V19" s="13"/>
      <c r="W19" s="13"/>
      <c r="X19" s="13"/>
      <c r="Z19" s="1" t="s">
        <v>210</v>
      </c>
      <c r="AC19" s="16" t="s">
        <v>118</v>
      </c>
      <c r="AD19" s="16" t="s">
        <v>118</v>
      </c>
      <c r="AE19" s="17"/>
      <c r="AF19" s="17"/>
      <c r="AH19" s="1" t="s">
        <v>185</v>
      </c>
      <c r="BE19" s="1" t="s">
        <v>211</v>
      </c>
      <c r="BF19" s="1" t="s">
        <v>212</v>
      </c>
      <c r="BG19" s="1" t="s">
        <v>213</v>
      </c>
      <c r="BH19" s="1" t="s">
        <v>214</v>
      </c>
      <c r="BI19" s="1" t="s">
        <v>215</v>
      </c>
      <c r="BJ19" s="1" t="s">
        <v>216</v>
      </c>
    </row>
    <row r="20" spans="1:61" ht="12">
      <c r="A20" s="9" t="s">
        <v>217</v>
      </c>
      <c r="B20" s="3" t="s">
        <v>218</v>
      </c>
      <c r="C20" s="4"/>
      <c r="D20" s="4"/>
      <c r="E20" s="4"/>
      <c r="F20" s="4"/>
      <c r="G20" s="4"/>
      <c r="J20" s="1" t="s">
        <v>195</v>
      </c>
      <c r="N20" s="13">
        <f>N19*(1+(N$49/100))^(+N$48-N$47)</f>
        <v>0</v>
      </c>
      <c r="O20" s="13">
        <f>O19*(1+(O$49/100))^(+O$48-O$47)</f>
        <v>0</v>
      </c>
      <c r="P20" s="13">
        <f>P19*(1+(P$49/100))^(+P$48-P$47)</f>
        <v>0</v>
      </c>
      <c r="Q20" s="1" t="s">
        <v>219</v>
      </c>
      <c r="U20" s="29">
        <v>30</v>
      </c>
      <c r="V20" s="10" t="s">
        <v>118</v>
      </c>
      <c r="W20" s="10" t="s">
        <v>118</v>
      </c>
      <c r="X20" s="10" t="s">
        <v>118</v>
      </c>
      <c r="AK20" s="1" t="s">
        <v>220</v>
      </c>
      <c r="AO20" s="1" t="s">
        <v>221</v>
      </c>
      <c r="AW20" s="1" t="s">
        <v>222</v>
      </c>
      <c r="AZ20" s="1" t="s">
        <v>223</v>
      </c>
      <c r="BE20" s="1" t="s">
        <v>224</v>
      </c>
      <c r="BF20" s="1" t="s">
        <v>225</v>
      </c>
      <c r="BG20" s="1" t="s">
        <v>226</v>
      </c>
      <c r="BH20" s="1" t="s">
        <v>227</v>
      </c>
      <c r="BI20" s="1" t="s">
        <v>228</v>
      </c>
    </row>
    <row r="21" spans="9:61" ht="12">
      <c r="I21" s="1" t="s">
        <v>229</v>
      </c>
      <c r="N21" s="18">
        <f aca="true" t="shared" si="0" ref="N21:P22">10*N17+N19</f>
        <v>0</v>
      </c>
      <c r="O21" s="18">
        <f t="shared" si="0"/>
        <v>0</v>
      </c>
      <c r="P21" s="18">
        <f t="shared" si="0"/>
        <v>0</v>
      </c>
      <c r="Q21" s="1" t="s">
        <v>230</v>
      </c>
      <c r="U21" s="11">
        <f aca="true" t="shared" si="1" ref="U21:X22">U20</f>
        <v>30</v>
      </c>
      <c r="V21" s="11" t="str">
        <f t="shared" si="1"/>
        <v>________</v>
      </c>
      <c r="W21" s="11" t="str">
        <f t="shared" si="1"/>
        <v>________</v>
      </c>
      <c r="X21" s="11" t="str">
        <f t="shared" si="1"/>
        <v>________</v>
      </c>
      <c r="Y21" s="1" t="s">
        <v>231</v>
      </c>
      <c r="AG21" s="8" t="s">
        <v>232</v>
      </c>
      <c r="AH21" s="1" t="s">
        <v>233</v>
      </c>
      <c r="AM21" s="6" t="s">
        <v>234</v>
      </c>
      <c r="AN21" s="13" t="e">
        <f>IF(AN13&gt;0,20*LOG(LOG(AK44+1)/LOG(2)+1)+5,0)</f>
        <v>#DIV/0!</v>
      </c>
      <c r="AO21" s="1" t="s">
        <v>235</v>
      </c>
      <c r="AS21" s="8" t="s">
        <v>171</v>
      </c>
      <c r="AV21" s="1" t="s">
        <v>236</v>
      </c>
      <c r="BE21" s="1" t="s">
        <v>237</v>
      </c>
      <c r="BF21" s="1" t="s">
        <v>238</v>
      </c>
      <c r="BG21" s="1" t="s">
        <v>239</v>
      </c>
      <c r="BH21" s="1" t="s">
        <v>240</v>
      </c>
      <c r="BI21" s="1" t="s">
        <v>241</v>
      </c>
    </row>
    <row r="22" spans="1:61" ht="12">
      <c r="A22" s="6" t="s">
        <v>242</v>
      </c>
      <c r="B22" s="1" t="s">
        <v>243</v>
      </c>
      <c r="J22" s="1" t="s">
        <v>195</v>
      </c>
      <c r="N22" s="13">
        <f t="shared" si="0"/>
        <v>0</v>
      </c>
      <c r="O22" s="11">
        <f t="shared" si="0"/>
        <v>0</v>
      </c>
      <c r="P22" s="11">
        <f t="shared" si="0"/>
        <v>0</v>
      </c>
      <c r="Q22" s="1" t="s">
        <v>244</v>
      </c>
      <c r="U22" s="11">
        <f t="shared" si="1"/>
        <v>30</v>
      </c>
      <c r="V22" s="11" t="str">
        <f t="shared" si="1"/>
        <v>________</v>
      </c>
      <c r="W22" s="11" t="str">
        <f t="shared" si="1"/>
        <v>________</v>
      </c>
      <c r="X22" s="11" t="str">
        <f t="shared" si="1"/>
        <v>________</v>
      </c>
      <c r="Z22" s="1" t="s">
        <v>245</v>
      </c>
      <c r="AC22" s="3" t="s">
        <v>118</v>
      </c>
      <c r="AD22" s="3" t="s">
        <v>118</v>
      </c>
      <c r="AH22" s="1" t="s">
        <v>246</v>
      </c>
      <c r="AN22" s="13"/>
      <c r="BE22" s="1" t="s">
        <v>247</v>
      </c>
      <c r="BF22" s="1" t="s">
        <v>248</v>
      </c>
      <c r="BG22" s="1" t="s">
        <v>249</v>
      </c>
      <c r="BH22" s="1" t="s">
        <v>250</v>
      </c>
      <c r="BI22" s="1" t="s">
        <v>251</v>
      </c>
    </row>
    <row r="23" spans="2:61" ht="12">
      <c r="B23" s="1" t="s">
        <v>252</v>
      </c>
      <c r="I23" s="1" t="s">
        <v>253</v>
      </c>
      <c r="N23" s="13">
        <f>468*N22^0.416</f>
        <v>0</v>
      </c>
      <c r="O23" s="13">
        <f>468*O22^0.416</f>
        <v>0</v>
      </c>
      <c r="P23" s="13">
        <f>468*P22^0.416</f>
        <v>0</v>
      </c>
      <c r="U23" s="13"/>
      <c r="V23" s="13"/>
      <c r="W23" s="13"/>
      <c r="X23" s="13"/>
      <c r="AN23" s="13"/>
      <c r="AO23" s="1" t="s">
        <v>254</v>
      </c>
      <c r="AS23" s="8" t="s">
        <v>255</v>
      </c>
      <c r="AV23" s="1" t="s">
        <v>256</v>
      </c>
      <c r="BE23" s="1" t="s">
        <v>257</v>
      </c>
      <c r="BF23" s="1" t="s">
        <v>258</v>
      </c>
      <c r="BG23" s="1" t="s">
        <v>259</v>
      </c>
      <c r="BH23" s="1" t="s">
        <v>260</v>
      </c>
      <c r="BI23" s="1" t="s">
        <v>261</v>
      </c>
    </row>
    <row r="24" spans="11:61" ht="12">
      <c r="K24" s="8" t="s">
        <v>262</v>
      </c>
      <c r="N24" s="13">
        <f>N23*10^(-5/21.4)</f>
        <v>0</v>
      </c>
      <c r="O24" s="13">
        <f>O23*10^(-5/21.4)</f>
        <v>0</v>
      </c>
      <c r="P24" s="13">
        <f>P23*10^(-5/21.4)</f>
        <v>0</v>
      </c>
      <c r="Q24" s="1" t="s">
        <v>263</v>
      </c>
      <c r="U24" s="13"/>
      <c r="V24" s="13"/>
      <c r="W24" s="13"/>
      <c r="X24" s="13"/>
      <c r="Y24" s="1" t="s">
        <v>264</v>
      </c>
      <c r="AG24" s="8" t="s">
        <v>265</v>
      </c>
      <c r="AH24" s="1" t="s">
        <v>266</v>
      </c>
      <c r="AM24" s="6" t="s">
        <v>267</v>
      </c>
      <c r="AN24" s="13" t="e">
        <f>IF(AN16&gt;0,VLOOKUP(AN18/AN16,AH67:AI72,2),0)</f>
        <v>#DIV/0!</v>
      </c>
      <c r="BF24" s="1" t="s">
        <v>268</v>
      </c>
      <c r="BG24" s="1" t="s">
        <v>269</v>
      </c>
      <c r="BH24" s="1" t="s">
        <v>270</v>
      </c>
      <c r="BI24" s="1" t="s">
        <v>271</v>
      </c>
    </row>
    <row r="25" spans="1:61" ht="12">
      <c r="A25" s="6" t="s">
        <v>272</v>
      </c>
      <c r="B25" s="1" t="s">
        <v>273</v>
      </c>
      <c r="K25" s="8" t="s">
        <v>274</v>
      </c>
      <c r="N25" s="13" t="e">
        <f>1413*(LOG(N22)-1)</f>
        <v>#NUM!</v>
      </c>
      <c r="O25" s="13" t="e">
        <f>1413*(LOG(O22)-1)</f>
        <v>#NUM!</v>
      </c>
      <c r="P25" s="13" t="e">
        <f>1413*(LOG(P22)-1)</f>
        <v>#NUM!</v>
      </c>
      <c r="Q25" s="1" t="s">
        <v>275</v>
      </c>
      <c r="S25" s="1" t="s">
        <v>276</v>
      </c>
      <c r="U25" s="10">
        <v>16100</v>
      </c>
      <c r="V25" s="10" t="s">
        <v>118</v>
      </c>
      <c r="W25" s="10" t="s">
        <v>118</v>
      </c>
      <c r="X25" s="10" t="s">
        <v>118</v>
      </c>
      <c r="Z25" s="1" t="s">
        <v>277</v>
      </c>
      <c r="AC25" s="3" t="s">
        <v>118</v>
      </c>
      <c r="AD25" s="3" t="s">
        <v>118</v>
      </c>
      <c r="AH25" s="1" t="s">
        <v>278</v>
      </c>
      <c r="AN25" s="13"/>
      <c r="AW25" s="1" t="s">
        <v>279</v>
      </c>
      <c r="AZ25" s="1" t="s">
        <v>280</v>
      </c>
      <c r="BF25" s="1" t="s">
        <v>281</v>
      </c>
      <c r="BG25" s="1" t="s">
        <v>282</v>
      </c>
      <c r="BH25" s="1" t="s">
        <v>283</v>
      </c>
      <c r="BI25" s="1" t="s">
        <v>284</v>
      </c>
    </row>
    <row r="26" spans="9:61" ht="12">
      <c r="I26" s="1" t="s">
        <v>285</v>
      </c>
      <c r="L26" s="1" t="s">
        <v>286</v>
      </c>
      <c r="N26" s="13">
        <f>468*N21^0.416</f>
        <v>0</v>
      </c>
      <c r="O26" s="13">
        <f>468*O21^0.416</f>
        <v>0</v>
      </c>
      <c r="P26" s="13">
        <f>468*P21^0.416</f>
        <v>0</v>
      </c>
      <c r="S26" s="1" t="s">
        <v>287</v>
      </c>
      <c r="U26" s="13">
        <f>U25*(1+(U46/100))^(+U45-U44)</f>
        <v>18506.534833125723</v>
      </c>
      <c r="V26" s="13">
        <f>V25*(1+(V46/100))^(+V45-V44)</f>
        <v>0</v>
      </c>
      <c r="W26" s="13">
        <f>W25*(1+(W46/100))^(+W45-W44)</f>
        <v>0</v>
      </c>
      <c r="X26" s="13">
        <f>X25*(1+(X46/100))^(+X45-X44)</f>
        <v>0</v>
      </c>
      <c r="Z26" s="1" t="s">
        <v>288</v>
      </c>
      <c r="AC26" s="11">
        <v>0.01</v>
      </c>
      <c r="AD26" s="11">
        <v>0.01</v>
      </c>
      <c r="AE26" s="13"/>
      <c r="AN26" s="13"/>
      <c r="BF26" s="1" t="s">
        <v>289</v>
      </c>
      <c r="BG26" s="1" t="s">
        <v>290</v>
      </c>
      <c r="BH26" s="1" t="s">
        <v>291</v>
      </c>
      <c r="BI26" s="1" t="s">
        <v>292</v>
      </c>
    </row>
    <row r="27" spans="1:61" ht="12">
      <c r="A27" s="6" t="s">
        <v>293</v>
      </c>
      <c r="B27" s="1" t="s">
        <v>294</v>
      </c>
      <c r="K27" s="8" t="s">
        <v>262</v>
      </c>
      <c r="N27" s="13">
        <f>N26*10^(-5/21.4)</f>
        <v>0</v>
      </c>
      <c r="O27" s="13">
        <f>O26*10^(-5/21.4)</f>
        <v>0</v>
      </c>
      <c r="P27" s="13">
        <f>P26*10^(-5/21.4)</f>
        <v>0</v>
      </c>
      <c r="Q27" s="1" t="s">
        <v>295</v>
      </c>
      <c r="S27" s="1" t="s">
        <v>276</v>
      </c>
      <c r="U27" s="10">
        <v>2500</v>
      </c>
      <c r="V27" s="10" t="s">
        <v>118</v>
      </c>
      <c r="W27" s="10" t="s">
        <v>118</v>
      </c>
      <c r="X27" s="10" t="s">
        <v>118</v>
      </c>
      <c r="AG27" s="8" t="s">
        <v>296</v>
      </c>
      <c r="AH27" s="1" t="s">
        <v>297</v>
      </c>
      <c r="AM27" s="6" t="s">
        <v>298</v>
      </c>
      <c r="AN27" s="13" t="e">
        <f>AN24+AN21</f>
        <v>#DIV/0!</v>
      </c>
      <c r="BF27" s="1" t="s">
        <v>299</v>
      </c>
      <c r="BG27" s="1" t="s">
        <v>300</v>
      </c>
      <c r="BH27" s="1" t="s">
        <v>301</v>
      </c>
      <c r="BI27" s="1" t="s">
        <v>81</v>
      </c>
    </row>
    <row r="28" spans="11:61" ht="12">
      <c r="K28" s="8" t="s">
        <v>274</v>
      </c>
      <c r="N28" s="13" t="e">
        <f>1413*(LOG(N21)-1)</f>
        <v>#NUM!</v>
      </c>
      <c r="O28" s="13" t="e">
        <f>1413*(LOG(O21)-1)</f>
        <v>#NUM!</v>
      </c>
      <c r="P28" s="13" t="e">
        <f>1413*(LOG(P21)-1)</f>
        <v>#NUM!</v>
      </c>
      <c r="S28" s="1" t="s">
        <v>287</v>
      </c>
      <c r="U28" s="13">
        <f>U27*(1+(U46/100))^(+U45-U44)</f>
        <v>2873.6855330940566</v>
      </c>
      <c r="V28" s="13">
        <f>V27*(1+(V46/100))^(+V45-V44)</f>
        <v>0</v>
      </c>
      <c r="W28" s="13">
        <f>W27*(1+(W46/100))^(+W45-W44)</f>
        <v>0</v>
      </c>
      <c r="X28" s="13">
        <f>X27*(1+(X46/100))^(+X45-X44)</f>
        <v>0</v>
      </c>
      <c r="Y28" s="1" t="s">
        <v>302</v>
      </c>
      <c r="AC28" s="3" t="s">
        <v>118</v>
      </c>
      <c r="AD28" s="3" t="s">
        <v>118</v>
      </c>
      <c r="BF28" s="1" t="s">
        <v>303</v>
      </c>
      <c r="BG28" s="1" t="s">
        <v>304</v>
      </c>
      <c r="BH28" s="1" t="s">
        <v>305</v>
      </c>
      <c r="BI28" s="1" t="s">
        <v>306</v>
      </c>
    </row>
    <row r="29" spans="1:61" ht="12">
      <c r="A29" s="1" t="s">
        <v>307</v>
      </c>
      <c r="N29" s="13"/>
      <c r="O29" s="13"/>
      <c r="P29" s="13"/>
      <c r="Q29" s="1" t="s">
        <v>308</v>
      </c>
      <c r="S29" s="1" t="s">
        <v>276</v>
      </c>
      <c r="U29" s="13">
        <f>U25+10*U27</f>
        <v>41100</v>
      </c>
      <c r="V29" s="13">
        <f aca="true" t="shared" si="2" ref="V29:X30">V25+10*V27</f>
        <v>0</v>
      </c>
      <c r="W29" s="13">
        <f t="shared" si="2"/>
        <v>0</v>
      </c>
      <c r="X29" s="13">
        <f t="shared" si="2"/>
        <v>0</v>
      </c>
      <c r="AW29" s="1" t="s">
        <v>309</v>
      </c>
      <c r="AZ29" s="1" t="s">
        <v>124</v>
      </c>
      <c r="BF29" s="1" t="s">
        <v>310</v>
      </c>
      <c r="BG29" s="1" t="s">
        <v>311</v>
      </c>
      <c r="BH29" s="1" t="s">
        <v>216</v>
      </c>
      <c r="BI29" s="1" t="s">
        <v>312</v>
      </c>
    </row>
    <row r="30" spans="1:61" ht="12">
      <c r="A30" s="1" t="s">
        <v>313</v>
      </c>
      <c r="I30" s="1" t="s">
        <v>314</v>
      </c>
      <c r="N30" s="13">
        <f>1383*N22^0.577</f>
        <v>0</v>
      </c>
      <c r="O30" s="13">
        <f>1383*O22^0.577</f>
        <v>0</v>
      </c>
      <c r="P30" s="13">
        <f>1383*P22^0.577</f>
        <v>0</v>
      </c>
      <c r="S30" s="1" t="s">
        <v>287</v>
      </c>
      <c r="U30" s="13">
        <f>U26+10*U28</f>
        <v>47243.39016406629</v>
      </c>
      <c r="V30" s="13">
        <f t="shared" si="2"/>
        <v>0</v>
      </c>
      <c r="W30" s="13">
        <f t="shared" si="2"/>
        <v>0</v>
      </c>
      <c r="X30" s="13">
        <f t="shared" si="2"/>
        <v>0</v>
      </c>
      <c r="Y30" s="1" t="s">
        <v>315</v>
      </c>
      <c r="AC30" s="3" t="s">
        <v>118</v>
      </c>
      <c r="AD30" s="3" t="s">
        <v>118</v>
      </c>
      <c r="AW30" s="1" t="s">
        <v>316</v>
      </c>
      <c r="BF30" s="1" t="s">
        <v>317</v>
      </c>
      <c r="BG30" s="1" t="s">
        <v>318</v>
      </c>
      <c r="BI30" s="1" t="s">
        <v>319</v>
      </c>
    </row>
    <row r="31" spans="11:61" ht="12">
      <c r="K31" s="8" t="s">
        <v>262</v>
      </c>
      <c r="N31" s="13">
        <f>N30*(10^(-5/N100))</f>
        <v>0</v>
      </c>
      <c r="O31" s="13">
        <f>O30*(10^(-5/O100))</f>
        <v>0</v>
      </c>
      <c r="P31" s="13">
        <f>P30*(10^(-5/P100))</f>
        <v>0</v>
      </c>
      <c r="BF31" s="1" t="s">
        <v>320</v>
      </c>
      <c r="BG31" s="1" t="s">
        <v>213</v>
      </c>
      <c r="BI31" s="1" t="s">
        <v>321</v>
      </c>
    </row>
    <row r="32" spans="11:61" ht="12">
      <c r="K32" s="8" t="s">
        <v>274</v>
      </c>
      <c r="N32" s="13">
        <f>338*N22^0.635</f>
        <v>0</v>
      </c>
      <c r="O32" s="13">
        <f>338*O22^0.635</f>
        <v>0</v>
      </c>
      <c r="P32" s="13">
        <f>338*P22^0.635</f>
        <v>0</v>
      </c>
      <c r="Q32" s="1" t="s">
        <v>322</v>
      </c>
      <c r="U32" s="13"/>
      <c r="V32" s="13"/>
      <c r="W32" s="13"/>
      <c r="X32" s="13"/>
      <c r="Y32" s="1" t="s">
        <v>323</v>
      </c>
      <c r="BF32" s="1" t="s">
        <v>324</v>
      </c>
      <c r="BG32" s="1" t="s">
        <v>325</v>
      </c>
      <c r="BI32" s="1" t="s">
        <v>326</v>
      </c>
    </row>
    <row r="33" spans="3:61" ht="12">
      <c r="C33" s="1" t="s">
        <v>327</v>
      </c>
      <c r="E33" s="1" t="s">
        <v>328</v>
      </c>
      <c r="I33" s="1" t="s">
        <v>329</v>
      </c>
      <c r="N33" s="13">
        <f>1383*N21^0.577</f>
        <v>0</v>
      </c>
      <c r="O33" s="13">
        <f>1383*O21^0.577</f>
        <v>0</v>
      </c>
      <c r="P33" s="13">
        <f>1383*P21^0.577</f>
        <v>0</v>
      </c>
      <c r="Q33" s="1" t="s">
        <v>330</v>
      </c>
      <c r="S33" s="1" t="s">
        <v>276</v>
      </c>
      <c r="U33" s="10">
        <v>2500</v>
      </c>
      <c r="V33" s="10" t="s">
        <v>118</v>
      </c>
      <c r="W33" s="10" t="s">
        <v>118</v>
      </c>
      <c r="X33" s="10" t="s">
        <v>118</v>
      </c>
      <c r="Y33" s="1" t="s">
        <v>331</v>
      </c>
      <c r="AC33" s="3" t="s">
        <v>118</v>
      </c>
      <c r="AD33" s="3" t="s">
        <v>118</v>
      </c>
      <c r="AW33" s="1" t="s">
        <v>19</v>
      </c>
      <c r="AZ33" s="1" t="s">
        <v>52</v>
      </c>
      <c r="BF33" s="1" t="s">
        <v>332</v>
      </c>
      <c r="BG33" s="1" t="s">
        <v>333</v>
      </c>
      <c r="BI33" s="1" t="s">
        <v>334</v>
      </c>
    </row>
    <row r="34" spans="11:61" ht="12">
      <c r="K34" s="8" t="s">
        <v>262</v>
      </c>
      <c r="N34" s="13">
        <f>N33*(10^(-5/N112))</f>
        <v>0</v>
      </c>
      <c r="O34" s="13">
        <f>O33*(10^(-5/O112))</f>
        <v>0</v>
      </c>
      <c r="P34" s="13">
        <f>P33*(10^(-5/P112))</f>
        <v>0</v>
      </c>
      <c r="Q34" s="1" t="s">
        <v>335</v>
      </c>
      <c r="S34" s="1" t="s">
        <v>287</v>
      </c>
      <c r="U34" s="13">
        <f>U33*(1+(U46/100))^(+U45-U44)</f>
        <v>2873.6855330940566</v>
      </c>
      <c r="V34" s="13">
        <f>V33*(1+(V46/100))^(+V45-V44)</f>
        <v>0</v>
      </c>
      <c r="W34" s="13">
        <f>W33*(1+(W46/100))^(+W45-W44)</f>
        <v>0</v>
      </c>
      <c r="X34" s="13">
        <f>X33*(1+(X46/100))^(+X45-X44)</f>
        <v>0</v>
      </c>
      <c r="BF34" s="1" t="s">
        <v>336</v>
      </c>
      <c r="BG34" s="1" t="s">
        <v>337</v>
      </c>
      <c r="BI34" s="1" t="s">
        <v>338</v>
      </c>
    </row>
    <row r="35" spans="2:61" ht="12">
      <c r="B35" s="1" t="s">
        <v>339</v>
      </c>
      <c r="E35" s="8" t="s">
        <v>340</v>
      </c>
      <c r="K35" s="8" t="s">
        <v>274</v>
      </c>
      <c r="N35" s="13">
        <f>338*N21^0.635</f>
        <v>0</v>
      </c>
      <c r="O35" s="13">
        <f>338*O21^0.635</f>
        <v>0</v>
      </c>
      <c r="P35" s="13">
        <f>338*P21^0.635</f>
        <v>0</v>
      </c>
      <c r="Q35" s="1" t="s">
        <v>341</v>
      </c>
      <c r="S35" s="1" t="s">
        <v>276</v>
      </c>
      <c r="U35" s="10"/>
      <c r="V35" s="10" t="s">
        <v>118</v>
      </c>
      <c r="W35" s="10" t="s">
        <v>118</v>
      </c>
      <c r="X35" s="10" t="s">
        <v>118</v>
      </c>
      <c r="AW35" s="1" t="s">
        <v>342</v>
      </c>
      <c r="AZ35" s="1" t="s">
        <v>343</v>
      </c>
      <c r="BF35" s="1" t="s">
        <v>344</v>
      </c>
      <c r="BG35" s="1" t="s">
        <v>345</v>
      </c>
      <c r="BI35" s="1" t="s">
        <v>346</v>
      </c>
    </row>
    <row r="36" spans="2:61" ht="12">
      <c r="B36" s="1" t="s">
        <v>19</v>
      </c>
      <c r="E36" s="8" t="s">
        <v>52</v>
      </c>
      <c r="N36" s="13"/>
      <c r="S36" s="1" t="s">
        <v>287</v>
      </c>
      <c r="U36" s="13">
        <f>U35*(1+(U46/100))^(+U45-U44)</f>
        <v>0</v>
      </c>
      <c r="V36" s="13">
        <f>V35*(1+(V46/100))^(+V45-V44)</f>
        <v>0</v>
      </c>
      <c r="W36" s="13">
        <f>W35*(1+(W46/100))^(+W45-W44)</f>
        <v>0</v>
      </c>
      <c r="X36" s="13">
        <f>X35*(1+(X46/100))^(+X45-X44)</f>
        <v>0</v>
      </c>
      <c r="AC36" s="1" t="s">
        <v>347</v>
      </c>
      <c r="BF36" s="1" t="s">
        <v>348</v>
      </c>
      <c r="BG36" s="1" t="s">
        <v>349</v>
      </c>
      <c r="BI36" s="1" t="s">
        <v>350</v>
      </c>
    </row>
    <row r="37" spans="2:61" ht="12">
      <c r="B37" s="1" t="s">
        <v>222</v>
      </c>
      <c r="E37" s="8" t="s">
        <v>223</v>
      </c>
      <c r="N37" s="13"/>
      <c r="Q37" s="1" t="s">
        <v>351</v>
      </c>
      <c r="U37" s="10" t="s">
        <v>118</v>
      </c>
      <c r="V37" s="10" t="s">
        <v>118</v>
      </c>
      <c r="W37" s="10" t="s">
        <v>118</v>
      </c>
      <c r="X37" s="10" t="s">
        <v>118</v>
      </c>
      <c r="AC37" s="8" t="s">
        <v>352</v>
      </c>
      <c r="AD37" s="8" t="s">
        <v>353</v>
      </c>
      <c r="AE37" s="8" t="s">
        <v>354</v>
      </c>
      <c r="AW37" s="1" t="s">
        <v>355</v>
      </c>
      <c r="AZ37" s="1" t="s">
        <v>355</v>
      </c>
      <c r="BF37" s="1" t="s">
        <v>356</v>
      </c>
      <c r="BG37" s="1" t="s">
        <v>357</v>
      </c>
      <c r="BI37" s="1" t="s">
        <v>358</v>
      </c>
    </row>
    <row r="38" spans="2:61" ht="12">
      <c r="B38" s="1" t="s">
        <v>279</v>
      </c>
      <c r="E38" s="8" t="s">
        <v>280</v>
      </c>
      <c r="I38" s="1" t="s">
        <v>359</v>
      </c>
      <c r="N38" s="13"/>
      <c r="Q38" s="1" t="s">
        <v>360</v>
      </c>
      <c r="S38" s="1" t="s">
        <v>276</v>
      </c>
      <c r="U38" s="13">
        <f>U33+U35+U37</f>
        <v>2500</v>
      </c>
      <c r="V38" s="13">
        <f>V33+V35+V37</f>
        <v>0</v>
      </c>
      <c r="W38" s="13">
        <f>W33+W35+W37</f>
        <v>0</v>
      </c>
      <c r="X38" s="13">
        <f>X33+X35+X37</f>
        <v>0</v>
      </c>
      <c r="BF38" s="1" t="s">
        <v>361</v>
      </c>
      <c r="BG38" s="1" t="s">
        <v>362</v>
      </c>
      <c r="BI38" s="1" t="s">
        <v>363</v>
      </c>
    </row>
    <row r="39" spans="2:61" ht="12">
      <c r="B39" s="1" t="s">
        <v>364</v>
      </c>
      <c r="E39" s="8" t="s">
        <v>124</v>
      </c>
      <c r="I39" s="1" t="s">
        <v>365</v>
      </c>
      <c r="N39" s="13"/>
      <c r="S39" s="1" t="s">
        <v>287</v>
      </c>
      <c r="U39" s="13">
        <f>U34+U36+U37</f>
        <v>2873.6855330940566</v>
      </c>
      <c r="V39" s="13">
        <f>V34+V36+V37</f>
        <v>0</v>
      </c>
      <c r="W39" s="13">
        <f>W34+W36+W37</f>
        <v>0</v>
      </c>
      <c r="X39" s="13">
        <f>X34+X36+X37</f>
        <v>0</v>
      </c>
      <c r="Y39" s="1" t="s">
        <v>366</v>
      </c>
      <c r="AC39" s="19" t="e">
        <f>IF($AN8=0,+AB63+10*LOG(AC15*((1-AC19)+(10*AC19)))-49.4,AB63+10*LOG(AC15*((1-AC19)+(10*AC19)))-49.4-$AN27)</f>
        <v>#NUM!</v>
      </c>
      <c r="AD39" s="19" t="e">
        <f>IF($AN8=0,+AC63+10*LOG(AD15*((1-AD19)+(10*AD19)))-49.4,AC63+10*LOG(AD15*((1-AD19)+(10*AD19)))-49.4-$AN27)</f>
        <v>#NUM!</v>
      </c>
      <c r="AE39" s="19" t="e">
        <f>IF($AN8=0,+AD63+10*LOG(AE15*((1-AE19)+(10*AE19)))-49.4,AD63+10*LOG(AE15*((1-AE19)+(10*AE19)))-49.4-$AN27)</f>
        <v>#NUM!</v>
      </c>
      <c r="AJ39" s="1" t="s">
        <v>367</v>
      </c>
      <c r="AW39" s="1" t="s">
        <v>368</v>
      </c>
      <c r="BF39" s="1" t="s">
        <v>369</v>
      </c>
      <c r="BG39" s="1" t="s">
        <v>370</v>
      </c>
      <c r="BI39" s="1" t="s">
        <v>371</v>
      </c>
    </row>
    <row r="40" spans="2:61" ht="12">
      <c r="B40" s="1" t="s">
        <v>51</v>
      </c>
      <c r="E40" s="8" t="s">
        <v>343</v>
      </c>
      <c r="I40" s="1" t="s">
        <v>372</v>
      </c>
      <c r="N40" s="13"/>
      <c r="AC40" s="19"/>
      <c r="AD40" s="19"/>
      <c r="AE40" s="19"/>
      <c r="BF40" s="1" t="s">
        <v>373</v>
      </c>
      <c r="BG40" s="1" t="s">
        <v>374</v>
      </c>
      <c r="BI40" s="1" t="s">
        <v>375</v>
      </c>
    </row>
    <row r="41" spans="10:61" ht="12">
      <c r="J41" s="1" t="s">
        <v>376</v>
      </c>
      <c r="N41" s="11"/>
      <c r="O41" s="4"/>
      <c r="P41" s="4"/>
      <c r="Q41" s="1" t="s">
        <v>377</v>
      </c>
      <c r="U41" s="16">
        <v>0.15</v>
      </c>
      <c r="V41" s="16" t="s">
        <v>118</v>
      </c>
      <c r="W41" s="16" t="s">
        <v>118</v>
      </c>
      <c r="X41" s="16" t="s">
        <v>118</v>
      </c>
      <c r="Y41" s="1" t="s">
        <v>378</v>
      </c>
      <c r="AC41" s="19" t="e">
        <f>IF($AN8=0,+AB76+10*LOG(AC15*((1-AC19)+(10*AC19)))-49.4,AB76+10*LOG(AC15*((1-AC19)+(10*AC19)))-49.4-$AN27)</f>
        <v>#NUM!</v>
      </c>
      <c r="AD41" s="19" t="e">
        <f>IF($AN8=0,+AC76+10*LOG(AD15*((1-AD19)+(10*AD19)))-49.4,AC76+10*LOG(AD15*((1-AD19)+(10*AD19)))-49.4-$AN27)</f>
        <v>#NUM!</v>
      </c>
      <c r="AE41" s="19" t="e">
        <f>IF($AN8=0,+AD76+10*LOG(AE15*((1-AE19)+(10*AE19)))-49.4,AD76+10*LOG(AE15*((1-AE19)+(10*AE19)))-49.4-$AN27)</f>
        <v>#NUM!</v>
      </c>
      <c r="AG41" s="18">
        <v>1</v>
      </c>
      <c r="AH41" s="18">
        <f>AN5-AN6</f>
        <v>0</v>
      </c>
      <c r="AJ41" s="1" t="s">
        <v>379</v>
      </c>
      <c r="AK41" s="18" t="e">
        <f>SQRT(AH54^2+AH51^2)</f>
        <v>#DIV/0!</v>
      </c>
      <c r="AL41" s="1" t="s">
        <v>380</v>
      </c>
      <c r="BF41" s="1" t="s">
        <v>381</v>
      </c>
      <c r="BG41" s="1" t="s">
        <v>382</v>
      </c>
      <c r="BI41" s="1" t="s">
        <v>383</v>
      </c>
    </row>
    <row r="42" spans="9:61" ht="12">
      <c r="I42" s="1" t="s">
        <v>384</v>
      </c>
      <c r="N42" s="13"/>
      <c r="Q42" s="1" t="s">
        <v>385</v>
      </c>
      <c r="AC42" s="19"/>
      <c r="AD42" s="19"/>
      <c r="AE42" s="19"/>
      <c r="AG42" s="18">
        <v>2</v>
      </c>
      <c r="AH42" s="18">
        <f>AN7-AN6</f>
        <v>0</v>
      </c>
      <c r="AJ42" s="1" t="s">
        <v>386</v>
      </c>
      <c r="AK42" s="18" t="e">
        <f>SQRT(AH57^2+AH51^2)</f>
        <v>#DIV/0!</v>
      </c>
      <c r="AL42" s="1" t="s">
        <v>387</v>
      </c>
      <c r="BF42" s="1" t="s">
        <v>388</v>
      </c>
      <c r="BG42" s="1" t="s">
        <v>389</v>
      </c>
      <c r="BI42" s="1" t="s">
        <v>81</v>
      </c>
    </row>
    <row r="43" spans="2:61" ht="12">
      <c r="B43" s="1" t="s">
        <v>390</v>
      </c>
      <c r="J43" s="1" t="s">
        <v>391</v>
      </c>
      <c r="N43" s="11"/>
      <c r="O43" s="4"/>
      <c r="P43" s="4"/>
      <c r="AC43" s="19"/>
      <c r="AD43" s="19"/>
      <c r="AE43" s="19"/>
      <c r="AG43" s="18">
        <v>3</v>
      </c>
      <c r="AH43" s="18">
        <f>AN8+AN9</f>
        <v>0</v>
      </c>
      <c r="AJ43" s="1" t="s">
        <v>392</v>
      </c>
      <c r="AK43" s="18" t="e">
        <f>AH54+AH57</f>
        <v>#DIV/0!</v>
      </c>
      <c r="AL43" s="1" t="s">
        <v>393</v>
      </c>
      <c r="BF43" s="1" t="s">
        <v>394</v>
      </c>
      <c r="BG43" s="1" t="s">
        <v>213</v>
      </c>
      <c r="BI43" s="1" t="s">
        <v>395</v>
      </c>
    </row>
    <row r="44" spans="9:61" ht="12">
      <c r="I44" s="1" t="s">
        <v>396</v>
      </c>
      <c r="N44" s="12" t="e">
        <f>N43/N41</f>
        <v>#DIV/0!</v>
      </c>
      <c r="O44" s="12" t="e">
        <f>O43/O41</f>
        <v>#DIV/0!</v>
      </c>
      <c r="P44" s="12" t="e">
        <f>P43/P41</f>
        <v>#DIV/0!</v>
      </c>
      <c r="Q44" s="1" t="s">
        <v>397</v>
      </c>
      <c r="U44" s="10">
        <v>1996</v>
      </c>
      <c r="V44" s="10" t="s">
        <v>118</v>
      </c>
      <c r="W44" s="10" t="s">
        <v>118</v>
      </c>
      <c r="X44" s="10" t="s">
        <v>118</v>
      </c>
      <c r="AC44" s="19"/>
      <c r="AD44" s="19"/>
      <c r="AE44" s="19"/>
      <c r="AG44" s="18">
        <v>4</v>
      </c>
      <c r="AH44" s="18">
        <f>AN8</f>
        <v>0</v>
      </c>
      <c r="AJ44" s="1" t="s">
        <v>398</v>
      </c>
      <c r="AK44" s="18" t="e">
        <f>AK41+AK42-AK43</f>
        <v>#DIV/0!</v>
      </c>
      <c r="AL44" s="1" t="s">
        <v>399</v>
      </c>
      <c r="BF44" s="1" t="s">
        <v>400</v>
      </c>
      <c r="BG44" s="1" t="s">
        <v>401</v>
      </c>
      <c r="BI44" s="1" t="s">
        <v>402</v>
      </c>
    </row>
    <row r="45" spans="1:61" ht="12">
      <c r="A45" s="20">
        <f ca="1">NOW()</f>
        <v>37855.46577511574</v>
      </c>
      <c r="I45" s="1" t="s">
        <v>403</v>
      </c>
      <c r="N45" s="19" t="e">
        <f>65-20*LOG(N44)</f>
        <v>#DIV/0!</v>
      </c>
      <c r="O45" s="19" t="e">
        <f>65-20*LOG(O44)</f>
        <v>#DIV/0!</v>
      </c>
      <c r="P45" s="19" t="e">
        <f>65-20*LOG(P44)</f>
        <v>#DIV/0!</v>
      </c>
      <c r="Q45" s="1" t="s">
        <v>404</v>
      </c>
      <c r="U45" s="10">
        <v>2010</v>
      </c>
      <c r="V45" s="10" t="s">
        <v>118</v>
      </c>
      <c r="W45" s="10" t="s">
        <v>118</v>
      </c>
      <c r="X45" s="10" t="s">
        <v>118</v>
      </c>
      <c r="Y45" s="1" t="s">
        <v>405</v>
      </c>
      <c r="AC45" s="19" t="e">
        <f>IF($AN8=0,+AB75+10*LOG(AB70*((1-AC19)+(10*AC19)))-49.4,AB75+10*LOG(AB70*((1-AC19)))-49.4-$AN27)</f>
        <v>#NUM!</v>
      </c>
      <c r="AD45" s="19" t="e">
        <f>IF($AN8=0,+AC75+10*LOG(AC70*((1-AD19)+(10*AD19)))-49.4,AC75+10*LOG(AC70*((1-AD19)))-49.4-$AN27)</f>
        <v>#NUM!</v>
      </c>
      <c r="AE45" s="19" t="e">
        <f>IF($AN8=0,+AD75+10*LOG(AD70*((1-AE19)+(10*AE19)))-49.4,AD75+10*LOG(AD70*((1-AE19)))-49.4-$AN27)</f>
        <v>#NUM!</v>
      </c>
      <c r="AG45" s="18">
        <v>5</v>
      </c>
      <c r="AH45" s="18" t="e">
        <f>AH42/AH43</f>
        <v>#DIV/0!</v>
      </c>
      <c r="BF45" s="1" t="s">
        <v>406</v>
      </c>
      <c r="BG45" s="1" t="s">
        <v>407</v>
      </c>
      <c r="BI45" s="1" t="s">
        <v>408</v>
      </c>
    </row>
    <row r="46" spans="17:61" ht="12">
      <c r="Q46" s="1" t="s">
        <v>409</v>
      </c>
      <c r="U46" s="21">
        <v>1</v>
      </c>
      <c r="V46" s="10" t="s">
        <v>118</v>
      </c>
      <c r="W46" s="10" t="s">
        <v>118</v>
      </c>
      <c r="X46" s="10" t="s">
        <v>118</v>
      </c>
      <c r="AC46" s="19"/>
      <c r="AD46" s="19"/>
      <c r="AE46" s="19"/>
      <c r="AG46" s="18">
        <v>6</v>
      </c>
      <c r="AH46" s="18" t="e">
        <f>AH45^2</f>
        <v>#DIV/0!</v>
      </c>
      <c r="BF46" s="1" t="s">
        <v>410</v>
      </c>
      <c r="BG46" s="1" t="s">
        <v>411</v>
      </c>
      <c r="BI46" s="1" t="s">
        <v>412</v>
      </c>
    </row>
    <row r="47" spans="9:61" ht="12">
      <c r="I47" s="1" t="s">
        <v>413</v>
      </c>
      <c r="N47" s="4"/>
      <c r="O47" s="4"/>
      <c r="P47" s="4"/>
      <c r="Y47" s="1" t="s">
        <v>414</v>
      </c>
      <c r="AC47" s="19"/>
      <c r="AD47" s="19"/>
      <c r="AE47" s="19"/>
      <c r="AG47" s="18">
        <v>7</v>
      </c>
      <c r="AH47" s="18" t="e">
        <f>0.4*AH46</f>
        <v>#DIV/0!</v>
      </c>
      <c r="BF47" s="1" t="s">
        <v>415</v>
      </c>
      <c r="BG47" s="1" t="s">
        <v>416</v>
      </c>
      <c r="BI47" s="1" t="s">
        <v>417</v>
      </c>
    </row>
    <row r="48" spans="9:61" ht="12">
      <c r="I48" s="1" t="s">
        <v>418</v>
      </c>
      <c r="N48" s="4"/>
      <c r="O48" s="4"/>
      <c r="P48" s="4"/>
      <c r="T48" s="8" t="s">
        <v>85</v>
      </c>
      <c r="U48" s="8" t="s">
        <v>86</v>
      </c>
      <c r="V48" s="8" t="s">
        <v>87</v>
      </c>
      <c r="W48" s="8" t="s">
        <v>88</v>
      </c>
      <c r="Z48" s="1" t="s">
        <v>419</v>
      </c>
      <c r="AC48" s="19">
        <f>IF(AC12=0,0,10*LOG(10^((AC39)/10)+10^((AC41)/10)+10^((AC45)/10)))</f>
        <v>0</v>
      </c>
      <c r="AD48" s="19">
        <f>IF(AD12=0,0,10*LOG(10^((AD39)/10)+10^((AD41)/10)+10^((AD45)/10)))</f>
        <v>0</v>
      </c>
      <c r="AE48" s="19">
        <f>IF(AE12=0,0,10*LOG(10^((AE39)/10)+10^((AE41)/10)+10^((AE45)/10)))</f>
        <v>0</v>
      </c>
      <c r="AG48" s="18">
        <v>8</v>
      </c>
      <c r="AH48" s="18" t="e">
        <f>1-AH47</f>
        <v>#DIV/0!</v>
      </c>
      <c r="BF48" s="1" t="s">
        <v>420</v>
      </c>
      <c r="BG48" s="1" t="s">
        <v>421</v>
      </c>
      <c r="BI48" s="1" t="s">
        <v>422</v>
      </c>
    </row>
    <row r="49" spans="1:61" ht="12">
      <c r="A49" s="1" t="s">
        <v>423</v>
      </c>
      <c r="C49" s="7" t="s">
        <v>27</v>
      </c>
      <c r="I49" s="1" t="s">
        <v>424</v>
      </c>
      <c r="N49" s="4"/>
      <c r="O49" s="4"/>
      <c r="P49" s="4"/>
      <c r="AC49" s="19"/>
      <c r="AD49" s="19"/>
      <c r="AE49" s="19"/>
      <c r="AG49" s="18">
        <v>9</v>
      </c>
      <c r="AH49" s="18" t="e">
        <f>AH45*AH44</f>
        <v>#DIV/0!</v>
      </c>
      <c r="BF49" s="1" t="s">
        <v>425</v>
      </c>
      <c r="BG49" s="1" t="s">
        <v>426</v>
      </c>
      <c r="BI49" s="1" t="s">
        <v>427</v>
      </c>
    </row>
    <row r="50" spans="17:61" ht="12">
      <c r="Q50" s="1" t="s">
        <v>428</v>
      </c>
      <c r="S50" s="1" t="s">
        <v>429</v>
      </c>
      <c r="T50" s="19">
        <f>IF($AN8=0,+S74+S75,+S74+S75-$AN27)</f>
        <v>59.30878416420086</v>
      </c>
      <c r="U50" s="19" t="e">
        <f>IF($AN8=0,+T74+T75,+T74+T75-$AN27)</f>
        <v>#NUM!</v>
      </c>
      <c r="V50" s="19" t="e">
        <f>IF($AN8=0,+U74+U75,+U74+U75-$AN27)</f>
        <v>#NUM!</v>
      </c>
      <c r="W50" s="19" t="e">
        <f>IF($AN8=0,+V74+V75,+V74+V75-$AN27)</f>
        <v>#NUM!</v>
      </c>
      <c r="Z50" s="1" t="s">
        <v>430</v>
      </c>
      <c r="AC50" s="19">
        <f>IF(AC48+AD48=0,0,10*LOG(10^((AC48)/10)+10^((AD48)/10)))</f>
        <v>0</v>
      </c>
      <c r="AD50" s="19"/>
      <c r="AE50" s="19"/>
      <c r="AG50" s="18">
        <v>10</v>
      </c>
      <c r="AH50" s="18" t="e">
        <f>AH41-AH49</f>
        <v>#DIV/0!</v>
      </c>
      <c r="BF50" s="1" t="s">
        <v>431</v>
      </c>
      <c r="BI50" s="1" t="s">
        <v>432</v>
      </c>
    </row>
    <row r="51" spans="1:61" ht="12">
      <c r="A51" s="1" t="s">
        <v>433</v>
      </c>
      <c r="C51" s="7" t="s">
        <v>27</v>
      </c>
      <c r="I51" s="1" t="s">
        <v>434</v>
      </c>
      <c r="S51" s="1" t="s">
        <v>435</v>
      </c>
      <c r="T51" s="19">
        <f>IF($AN8=0,+S74+S76,+S74+S76-$AN27)</f>
        <v>59.913776493770825</v>
      </c>
      <c r="U51" s="19" t="e">
        <f>IF($AN8=0,+T74+T76,+T74+T76-$AN27)</f>
        <v>#NUM!</v>
      </c>
      <c r="V51" s="19" t="e">
        <f>IF($AN8=0,+U74+U76,+U74+U76-$AN27)</f>
        <v>#NUM!</v>
      </c>
      <c r="W51" s="19" t="e">
        <f>IF($AN8=0,+V74+V76,+V74+V76-$AN27)</f>
        <v>#NUM!</v>
      </c>
      <c r="Z51" s="1" t="s">
        <v>436</v>
      </c>
      <c r="AC51" s="19">
        <f>IF(AD48+AE48=0,0,10*LOG(10^((AD48)/10)+10^((AE48)/10)))</f>
        <v>0</v>
      </c>
      <c r="AD51" s="19"/>
      <c r="AE51" s="19"/>
      <c r="AG51" s="18">
        <v>11</v>
      </c>
      <c r="AH51" s="18" t="e">
        <f>AH50*AH48</f>
        <v>#DIV/0!</v>
      </c>
      <c r="BF51" s="1" t="s">
        <v>437</v>
      </c>
      <c r="BI51" s="1" t="s">
        <v>438</v>
      </c>
    </row>
    <row r="52" spans="9:61" ht="12">
      <c r="I52" s="1" t="s">
        <v>439</v>
      </c>
      <c r="T52" s="19"/>
      <c r="U52" s="19"/>
      <c r="V52" s="19"/>
      <c r="W52" s="19"/>
      <c r="Z52" s="1" t="s">
        <v>440</v>
      </c>
      <c r="AC52" s="19">
        <f>IF(AC48+AC51=0,0,10*LOG(10^((AC50)/10)+10^((AE48)/10)))</f>
        <v>0</v>
      </c>
      <c r="AD52" s="19"/>
      <c r="AE52" s="19"/>
      <c r="AG52" s="18">
        <v>12</v>
      </c>
      <c r="AH52" s="18" t="e">
        <f>AH45*AH50</f>
        <v>#DIV/0!</v>
      </c>
      <c r="BF52" s="1" t="s">
        <v>441</v>
      </c>
      <c r="BI52" s="1" t="s">
        <v>442</v>
      </c>
    </row>
    <row r="53" spans="1:61" ht="12">
      <c r="A53" s="1" t="s">
        <v>443</v>
      </c>
      <c r="C53" s="7" t="s">
        <v>27</v>
      </c>
      <c r="I53" s="1" t="s">
        <v>444</v>
      </c>
      <c r="N53" s="4"/>
      <c r="O53" s="4"/>
      <c r="P53" s="4"/>
      <c r="Q53" s="1" t="s">
        <v>445</v>
      </c>
      <c r="S53" s="1" t="s">
        <v>429</v>
      </c>
      <c r="T53" s="19">
        <f>IF($AN8=0,10*LOG(10^((S78+S79)/10)+10^((S82+S83)/10)),10*LOG(10^((S78+S79)/10)+10^((S82+S83)/10))-$AN27)</f>
        <v>67.50907776835194</v>
      </c>
      <c r="U53" s="19" t="e">
        <f>IF($AN8=0,10*LOG(10^((T78+T79)/10)+10^((T82+T83)/10)),10*LOG(10^((T78+T79)/10)+10^((T82+T83)/10))-$AN27)</f>
        <v>#NUM!</v>
      </c>
      <c r="V53" s="19" t="e">
        <f>IF($AN8=0,10*LOG(10^((U78+U79)/10)+10^((U82+U83)/10)),10*LOG(10^((U78+U79)/10)+10^((U82+U83)/10))-$AN27)</f>
        <v>#NUM!</v>
      </c>
      <c r="W53" s="19" t="e">
        <f>IF($AN8=0,10*LOG(10^((V78+V79)/10)+10^((V82+V83)/10)),10*LOG(10^((V78+V79)/10)+10^((V82+V83)/10))-$AN27)</f>
        <v>#NUM!</v>
      </c>
      <c r="Z53" s="1" t="s">
        <v>446</v>
      </c>
      <c r="AC53" s="19">
        <f>IF(AC52+AC110=0,0,10*LOG(10^((AC52)/10)+10^((AC110)/10)))</f>
        <v>0</v>
      </c>
      <c r="AD53" s="19"/>
      <c r="AE53" s="19"/>
      <c r="AG53" s="18">
        <v>13</v>
      </c>
      <c r="AH53" s="18" t="e">
        <f>AH44/AH48</f>
        <v>#DIV/0!</v>
      </c>
      <c r="BF53" s="1" t="s">
        <v>447</v>
      </c>
      <c r="BI53" s="1" t="s">
        <v>448</v>
      </c>
    </row>
    <row r="54" spans="9:61" ht="12">
      <c r="I54" s="1" t="s">
        <v>449</v>
      </c>
      <c r="N54" s="4"/>
      <c r="O54" s="4"/>
      <c r="P54" s="4"/>
      <c r="S54" s="1" t="s">
        <v>435</v>
      </c>
      <c r="T54" s="19">
        <f>IF($AN8=0,10*LOG(10^((S78+S80)/10)+10^((S82+S84)/10)),10*LOG(10^((S78+S80)/10)+10^((S82+S84)/10))-$AN27)</f>
        <v>68.11384428491523</v>
      </c>
      <c r="U54" s="19" t="e">
        <f>IF($AN8=0,10*LOG(10^((T78+T80)/10)+10^((T82+T84)/10)),10*LOG(10^((T78+T80)/10)+10^((T82+T84)/10))-$AN27)</f>
        <v>#NUM!</v>
      </c>
      <c r="V54" s="19" t="e">
        <f>IF($AN8=0,10*LOG(10^((U78+U80)/10)+10^((U82+U84)/10)),10*LOG(10^((U78+U80)/10)+10^((U82+U84)/10))-$AN27)</f>
        <v>#NUM!</v>
      </c>
      <c r="W54" s="19" t="e">
        <f>IF($AN8=0,10*LOG(10^((V78+V80)/10)+10^((V82+V84)/10)),10*LOG(10^((V78+V80)/10)+10^((V82+V84)/10))-$AN27)</f>
        <v>#NUM!</v>
      </c>
      <c r="AG54" s="18">
        <v>14</v>
      </c>
      <c r="AH54" s="18" t="e">
        <f>AH53+AH52</f>
        <v>#DIV/0!</v>
      </c>
      <c r="BF54" s="1" t="s">
        <v>450</v>
      </c>
      <c r="BI54" s="1" t="s">
        <v>451</v>
      </c>
    </row>
    <row r="55" spans="1:61" ht="12">
      <c r="A55" s="1" t="s">
        <v>452</v>
      </c>
      <c r="C55" s="7" t="s">
        <v>27</v>
      </c>
      <c r="I55" s="1" t="s">
        <v>453</v>
      </c>
      <c r="N55" s="18">
        <f>IF(N53=0,0,65+(N53/(N53+N54))*5)</f>
        <v>0</v>
      </c>
      <c r="O55" s="18">
        <f>IF(O53=0,0,65+(O53/(O53+O54))*5)</f>
        <v>0</v>
      </c>
      <c r="P55" s="18">
        <f>IF(P53=0,0,65+(P53/(P53+P54))*5)</f>
        <v>0</v>
      </c>
      <c r="T55" s="19"/>
      <c r="U55" s="19"/>
      <c r="V55" s="19"/>
      <c r="W55" s="19"/>
      <c r="AG55" s="18">
        <v>15</v>
      </c>
      <c r="AH55" s="18">
        <f>AH43-AH44</f>
        <v>0</v>
      </c>
      <c r="AX55" s="1" t="s">
        <v>454</v>
      </c>
      <c r="BF55" s="1" t="s">
        <v>455</v>
      </c>
      <c r="BI55" s="1" t="s">
        <v>456</v>
      </c>
    </row>
    <row r="56" spans="9:61" ht="12">
      <c r="I56" s="1" t="s">
        <v>457</v>
      </c>
      <c r="Q56" s="1" t="s">
        <v>414</v>
      </c>
      <c r="R56" s="1" t="s">
        <v>458</v>
      </c>
      <c r="T56" s="19"/>
      <c r="U56" s="19"/>
      <c r="V56" s="19"/>
      <c r="W56" s="19"/>
      <c r="AG56" s="18">
        <v>16</v>
      </c>
      <c r="AH56" s="18" t="e">
        <f>AH55/AH48</f>
        <v>#DIV/0!</v>
      </c>
      <c r="BF56" s="1" t="s">
        <v>459</v>
      </c>
      <c r="BI56" s="1" t="s">
        <v>460</v>
      </c>
    </row>
    <row r="57" spans="1:61" ht="12">
      <c r="A57" s="1" t="s">
        <v>461</v>
      </c>
      <c r="C57" s="7" t="s">
        <v>27</v>
      </c>
      <c r="I57" s="1" t="s">
        <v>462</v>
      </c>
      <c r="N57" s="4"/>
      <c r="O57" s="4"/>
      <c r="P57" s="4"/>
      <c r="S57" s="1" t="s">
        <v>429</v>
      </c>
      <c r="T57" s="19">
        <f>IF(U13=0,0,10*LOG(10^((T50)/10)+10^((T53)/10)))</f>
        <v>68.12113592870676</v>
      </c>
      <c r="U57" s="19">
        <f>IF(V13=0,0,10*LOG(10^((U50)/10)+10^((U53)/10)))</f>
        <v>0</v>
      </c>
      <c r="V57" s="19">
        <f>IF(W13=0,0,10*LOG(10^((V50)/10)+10^((V53)/10)))</f>
        <v>0</v>
      </c>
      <c r="W57" s="19">
        <f>IF(X13=0,0,10*LOG(10^((W50)/10)+10^((W53)/10)))</f>
        <v>0</v>
      </c>
      <c r="AC57" s="19"/>
      <c r="AD57" s="19"/>
      <c r="AE57" s="19"/>
      <c r="AG57" s="18">
        <v>17</v>
      </c>
      <c r="AH57" s="18" t="e">
        <f>AH56-AH52</f>
        <v>#DIV/0!</v>
      </c>
      <c r="AX57" s="1" t="s">
        <v>463</v>
      </c>
      <c r="BF57" s="1" t="s">
        <v>464</v>
      </c>
      <c r="BI57" s="1" t="s">
        <v>216</v>
      </c>
    </row>
    <row r="58" spans="1:50" ht="12">
      <c r="A58" s="1" t="s">
        <v>465</v>
      </c>
      <c r="I58" s="1" t="s">
        <v>466</v>
      </c>
      <c r="N58" s="4"/>
      <c r="O58" s="4"/>
      <c r="P58" s="4"/>
      <c r="S58" s="1" t="s">
        <v>435</v>
      </c>
      <c r="T58" s="19">
        <f>IF(U13=0,0,10*LOG(10^((T51)/10)+10^((T54)/10)))</f>
        <v>68.72593212934937</v>
      </c>
      <c r="U58" s="19">
        <f>IF(V13=0,0,10*LOG(10^((U51)/10)+10^((U54)/10)))</f>
        <v>0</v>
      </c>
      <c r="V58" s="19">
        <f>IF(W13=0,0,10*LOG(10^((V51)/10)+10^((V54)/10)))</f>
        <v>0</v>
      </c>
      <c r="W58" s="19">
        <f>IF(X13=0,0,10*LOG(10^((W51)/10)+10^((W54)/10)))</f>
        <v>0</v>
      </c>
      <c r="AB58" s="1" t="s">
        <v>467</v>
      </c>
      <c r="AC58" s="19"/>
      <c r="AD58" s="19"/>
      <c r="AE58" s="19"/>
      <c r="AX58" s="1" t="s">
        <v>468</v>
      </c>
    </row>
    <row r="59" spans="9:54" ht="12">
      <c r="I59" s="1" t="s">
        <v>453</v>
      </c>
      <c r="N59" s="18">
        <f>IF(N57=0,0,65+(N57/(N57+N58))*5)</f>
        <v>0</v>
      </c>
      <c r="O59" s="18">
        <f>IF(O57=0,0,65+(O57/(O57+O58))*5)</f>
        <v>0</v>
      </c>
      <c r="P59" s="18">
        <f>IF(P57=0,0,65+(P57/(P57+P58))*5)</f>
        <v>0</v>
      </c>
      <c r="AB59" s="8" t="s">
        <v>352</v>
      </c>
      <c r="AC59" s="22" t="s">
        <v>353</v>
      </c>
      <c r="AD59" s="22" t="s">
        <v>354</v>
      </c>
      <c r="AE59" s="19"/>
      <c r="AX59" s="1" t="s">
        <v>469</v>
      </c>
      <c r="BB59" s="18">
        <v>0</v>
      </c>
    </row>
    <row r="60" spans="1:54" ht="12">
      <c r="A60" s="1" t="s">
        <v>470</v>
      </c>
      <c r="C60" s="7" t="s">
        <v>27</v>
      </c>
      <c r="F60" s="1" t="s">
        <v>471</v>
      </c>
      <c r="G60" s="7" t="s">
        <v>27</v>
      </c>
      <c r="R60" s="1" t="s">
        <v>472</v>
      </c>
      <c r="T60" s="1" t="s">
        <v>429</v>
      </c>
      <c r="V60" s="19">
        <f>IF(V13=0,T57,10*LOG(10^((T57)/10)+10^((U57)/10)))</f>
        <v>68.12113592870676</v>
      </c>
      <c r="AC60" s="19"/>
      <c r="AD60" s="19"/>
      <c r="AE60" s="19"/>
      <c r="AH60" s="1" t="s">
        <v>473</v>
      </c>
      <c r="AX60" s="1" t="s">
        <v>474</v>
      </c>
      <c r="BB60" s="13">
        <f ca="1">RAND()*100</f>
        <v>83.71738773569123</v>
      </c>
    </row>
    <row r="61" spans="9:50" ht="12">
      <c r="I61" s="1" t="s">
        <v>475</v>
      </c>
      <c r="N61" s="11"/>
      <c r="O61" s="11"/>
      <c r="P61" s="11"/>
      <c r="T61" s="1" t="s">
        <v>435</v>
      </c>
      <c r="V61" s="19">
        <f>IF(V13=0,T58,10*LOG(10^((T58)/10)+10^((U58)/10)))</f>
        <v>68.72593212934937</v>
      </c>
      <c r="Y61" s="1" t="s">
        <v>476</v>
      </c>
      <c r="AC61" s="19"/>
      <c r="AD61" s="19"/>
      <c r="AE61" s="19"/>
      <c r="AH61" s="1" t="s">
        <v>477</v>
      </c>
      <c r="AX61" s="1" t="s">
        <v>478</v>
      </c>
    </row>
    <row r="62" spans="1:50" ht="12">
      <c r="A62" s="1" t="s">
        <v>479</v>
      </c>
      <c r="C62" s="7" t="s">
        <v>27</v>
      </c>
      <c r="F62" s="1" t="s">
        <v>480</v>
      </c>
      <c r="G62" s="7" t="s">
        <v>27</v>
      </c>
      <c r="N62" s="19"/>
      <c r="O62" s="19"/>
      <c r="P62" s="19"/>
      <c r="V62" s="19"/>
      <c r="AC62" s="19"/>
      <c r="AD62" s="19"/>
      <c r="AE62" s="19"/>
      <c r="AF62" s="4"/>
      <c r="AH62" s="1" t="s">
        <v>481</v>
      </c>
      <c r="AX62" s="1" t="s">
        <v>482</v>
      </c>
    </row>
    <row r="63" spans="1:50" ht="12">
      <c r="A63" s="1" t="s">
        <v>465</v>
      </c>
      <c r="I63" s="1" t="s">
        <v>483</v>
      </c>
      <c r="N63" s="19"/>
      <c r="O63" s="23">
        <f>10*LOG(10^(N61/10)+10^(O61/10)+10^(P61/10))</f>
        <v>4.771212547196624</v>
      </c>
      <c r="P63" s="19"/>
      <c r="R63" s="1" t="s">
        <v>484</v>
      </c>
      <c r="T63" s="1" t="s">
        <v>429</v>
      </c>
      <c r="V63" s="19">
        <f>IF(X13=0,V57,10*LOG(10^((V57)/10)+10^((W57)/10)))</f>
        <v>0</v>
      </c>
      <c r="Z63" s="1" t="s">
        <v>485</v>
      </c>
      <c r="AB63" s="19" t="e">
        <f>141.7-10*LOG(AC28)+10*LOG(AB65)-15*LOG(AC12)</f>
        <v>#NUM!</v>
      </c>
      <c r="AC63" s="19" t="e">
        <f>141.7-10*LOG(AD28)+10*LOG(AC65)-15*LOG(AD12)</f>
        <v>#NUM!</v>
      </c>
      <c r="AD63" s="19" t="e">
        <f>141.7-10*LOG(AE28)+10*LOG(AD65)-15*LOG(AE12)</f>
        <v>#NUM!</v>
      </c>
      <c r="AE63" s="19"/>
      <c r="AF63" s="4"/>
      <c r="AH63" s="1" t="s">
        <v>486</v>
      </c>
      <c r="AX63" s="1" t="s">
        <v>487</v>
      </c>
    </row>
    <row r="64" spans="3:50" ht="12">
      <c r="C64" s="1" t="s">
        <v>488</v>
      </c>
      <c r="F64" s="1" t="s">
        <v>489</v>
      </c>
      <c r="G64" s="1" t="s">
        <v>490</v>
      </c>
      <c r="N64" s="19"/>
      <c r="O64" s="19"/>
      <c r="P64" s="19"/>
      <c r="T64" s="1" t="s">
        <v>435</v>
      </c>
      <c r="V64" s="19">
        <f>IF(X13=0,V58,10*LOG(10^((V58)/10)+10^((W58)/10)))</f>
        <v>0</v>
      </c>
      <c r="AB64" s="19"/>
      <c r="AC64" s="19"/>
      <c r="AD64" s="19"/>
      <c r="AE64" s="19"/>
      <c r="AF64" s="4"/>
      <c r="AH64" s="1" t="s">
        <v>491</v>
      </c>
      <c r="AX64" s="1" t="s">
        <v>492</v>
      </c>
    </row>
    <row r="65" spans="22:50" ht="12">
      <c r="V65" s="19"/>
      <c r="Z65" s="1" t="s">
        <v>493</v>
      </c>
      <c r="AB65" s="19" t="str">
        <f>IF(AC33=1,AC22*10,AC22)</f>
        <v>________</v>
      </c>
      <c r="AC65" s="19" t="str">
        <f>IF(AD33=1,AD22*10,AD22)</f>
        <v>________</v>
      </c>
      <c r="AD65" s="19">
        <f>IF(AE33=1,AE22*10,AE22)</f>
        <v>0</v>
      </c>
      <c r="AE65" s="19"/>
      <c r="AF65" s="4"/>
      <c r="AH65" s="5" t="s">
        <v>494</v>
      </c>
      <c r="AI65" s="5" t="s">
        <v>494</v>
      </c>
      <c r="AX65" s="1" t="s">
        <v>495</v>
      </c>
    </row>
    <row r="66" spans="18:50" ht="12">
      <c r="R66" s="1" t="s">
        <v>496</v>
      </c>
      <c r="T66" s="1" t="s">
        <v>429</v>
      </c>
      <c r="V66" s="19">
        <f>IF(W13=0,V60,10*LOG(10^((V60)/10)+10^((V57)/10)))</f>
        <v>68.12113592870676</v>
      </c>
      <c r="AB66" s="19"/>
      <c r="AC66" s="19"/>
      <c r="AD66" s="19"/>
      <c r="AE66" s="19"/>
      <c r="AF66" s="4"/>
      <c r="AH66" s="6" t="s">
        <v>497</v>
      </c>
      <c r="AI66" s="6" t="s">
        <v>265</v>
      </c>
      <c r="AX66" s="1" t="s">
        <v>498</v>
      </c>
    </row>
    <row r="67" spans="3:50" ht="12">
      <c r="C67" s="1" t="s">
        <v>499</v>
      </c>
      <c r="E67" s="6" t="s">
        <v>500</v>
      </c>
      <c r="F67" s="6" t="s">
        <v>501</v>
      </c>
      <c r="I67" s="1" t="s">
        <v>502</v>
      </c>
      <c r="J67" s="5" t="s">
        <v>27</v>
      </c>
      <c r="K67" s="5" t="s">
        <v>27</v>
      </c>
      <c r="L67" s="5" t="s">
        <v>27</v>
      </c>
      <c r="M67" s="5" t="s">
        <v>27</v>
      </c>
      <c r="N67" s="6" t="s">
        <v>503</v>
      </c>
      <c r="O67" s="5" t="s">
        <v>27</v>
      </c>
      <c r="P67" s="5" t="s">
        <v>27</v>
      </c>
      <c r="T67" s="1" t="s">
        <v>435</v>
      </c>
      <c r="V67" s="19">
        <f>IF(W13=0,V61,10*LOG(10^((V61)/10)+10^((V58)/10)))</f>
        <v>68.72593212934937</v>
      </c>
      <c r="AB67" s="19"/>
      <c r="AC67" s="19"/>
      <c r="AD67" s="19"/>
      <c r="AE67" s="19"/>
      <c r="AF67" s="4"/>
      <c r="AH67" s="18">
        <v>0</v>
      </c>
      <c r="AI67" s="18">
        <v>0</v>
      </c>
      <c r="AX67" s="1" t="s">
        <v>504</v>
      </c>
    </row>
    <row r="68" spans="20:35" ht="12">
      <c r="T68" s="12"/>
      <c r="V68" s="19"/>
      <c r="Y68" s="1" t="s">
        <v>505</v>
      </c>
      <c r="AB68" s="19"/>
      <c r="AC68" s="19"/>
      <c r="AD68" s="19"/>
      <c r="AE68" s="19"/>
      <c r="AF68" s="4"/>
      <c r="AH68" s="18">
        <v>1.3</v>
      </c>
      <c r="AI68" s="18">
        <v>0</v>
      </c>
    </row>
    <row r="69" spans="1:35" ht="12">
      <c r="A69" s="1" t="s">
        <v>506</v>
      </c>
      <c r="C69" s="1" t="s">
        <v>507</v>
      </c>
      <c r="E69" s="13">
        <f>IF(V69&lt;15,0,V69)</f>
        <v>68.12113592870676</v>
      </c>
      <c r="F69" s="13">
        <f>IF(V70&lt;15,0,V70)</f>
        <v>68.72593212934937</v>
      </c>
      <c r="G69" s="18">
        <f>U45</f>
        <v>2010</v>
      </c>
      <c r="R69" s="1" t="s">
        <v>508</v>
      </c>
      <c r="T69" s="1" t="s">
        <v>429</v>
      </c>
      <c r="V69" s="19">
        <f>IF(X13=0,V66,10*LOG(10^((V66)/10)+10^((W57)/10)))</f>
        <v>68.12113592870676</v>
      </c>
      <c r="AB69" s="19"/>
      <c r="AC69" s="19"/>
      <c r="AD69" s="19"/>
      <c r="AE69" s="19"/>
      <c r="AF69" s="4"/>
      <c r="AH69" s="18">
        <v>2</v>
      </c>
      <c r="AI69" s="18">
        <v>-1</v>
      </c>
    </row>
    <row r="70" spans="5:50" ht="12">
      <c r="E70" s="13"/>
      <c r="F70" s="13"/>
      <c r="T70" s="1" t="s">
        <v>435</v>
      </c>
      <c r="V70" s="19">
        <f>IF(X13=0,V67,10*LOG(10^((V67)/10)+10^((W58)/10)))</f>
        <v>68.72593212934937</v>
      </c>
      <c r="Z70" s="1" t="s">
        <v>493</v>
      </c>
      <c r="AB70" s="19">
        <f>IF(AC33=1,AC16*100,AC16)</f>
        <v>0.01</v>
      </c>
      <c r="AC70" s="19">
        <f>IF(AD33=1,AD16*100,AD16)</f>
        <v>0.01</v>
      </c>
      <c r="AD70" s="19">
        <f>IF(AE33=1,AE16*100,AE16)</f>
        <v>0</v>
      </c>
      <c r="AE70" s="19"/>
      <c r="AF70" s="4"/>
      <c r="AH70" s="18">
        <v>3.2</v>
      </c>
      <c r="AI70" s="18">
        <v>-2</v>
      </c>
      <c r="AX70" s="1" t="s">
        <v>141</v>
      </c>
    </row>
    <row r="71" spans="1:50" ht="12">
      <c r="A71" s="1" t="s">
        <v>509</v>
      </c>
      <c r="C71" s="1" t="s">
        <v>507</v>
      </c>
      <c r="E71" s="13">
        <f>IF($O$63&lt;5,0,$O$63)</f>
        <v>0</v>
      </c>
      <c r="F71" s="13">
        <f>IF($O$63&lt;5,0,$O$63)</f>
        <v>0</v>
      </c>
      <c r="G71" s="18">
        <f>N48</f>
        <v>0</v>
      </c>
      <c r="AE71" s="19"/>
      <c r="AF71" s="4"/>
      <c r="AH71" s="18">
        <v>5</v>
      </c>
      <c r="AI71" s="18">
        <v>-3</v>
      </c>
      <c r="AP71" s="1" t="s">
        <v>510</v>
      </c>
      <c r="AR71" s="1" t="s">
        <v>511</v>
      </c>
      <c r="AU71" s="8" t="s">
        <v>512</v>
      </c>
      <c r="AX71" s="1" t="s">
        <v>513</v>
      </c>
    </row>
    <row r="72" spans="5:50" ht="12">
      <c r="E72" s="13"/>
      <c r="F72" s="13"/>
      <c r="S72" s="8" t="s">
        <v>85</v>
      </c>
      <c r="T72" s="8" t="s">
        <v>86</v>
      </c>
      <c r="U72" s="8" t="s">
        <v>87</v>
      </c>
      <c r="V72" s="8" t="s">
        <v>88</v>
      </c>
      <c r="Z72" s="1" t="s">
        <v>514</v>
      </c>
      <c r="AB72" s="19">
        <f>IF(AC30=1,AC26,AC26*4)</f>
        <v>0.04</v>
      </c>
      <c r="AC72" s="19">
        <f>IF(AD30=1,AD26,AD26*4)</f>
        <v>0.04</v>
      </c>
      <c r="AD72" s="19">
        <f>IF(AE30=1,AE26,AE26*4)</f>
        <v>0</v>
      </c>
      <c r="AE72" s="19"/>
      <c r="AF72" s="4"/>
      <c r="AH72" s="18">
        <v>99</v>
      </c>
      <c r="AI72" s="18">
        <v>-4</v>
      </c>
      <c r="AR72" s="1" t="s">
        <v>515</v>
      </c>
      <c r="AX72" s="1" t="s">
        <v>516</v>
      </c>
    </row>
    <row r="73" spans="1:50" ht="12">
      <c r="A73" s="1" t="s">
        <v>517</v>
      </c>
      <c r="C73" s="1" t="s">
        <v>507</v>
      </c>
      <c r="E73" s="13">
        <f>AC53</f>
        <v>0</v>
      </c>
      <c r="F73" s="13">
        <f>AC53</f>
        <v>0</v>
      </c>
      <c r="G73" s="7" t="s">
        <v>27</v>
      </c>
      <c r="AB73" s="19">
        <f>IF(AC30=1,AC25,AC25*4)</f>
        <v>0</v>
      </c>
      <c r="AC73" s="19">
        <f>IF(AD30=1,AD25,AD25*4)</f>
        <v>0</v>
      </c>
      <c r="AD73" s="19">
        <f>IF(AE30=1,AE25,AE25*4)</f>
        <v>0</v>
      </c>
      <c r="AE73" s="19"/>
      <c r="AF73" s="4"/>
      <c r="AR73" s="1" t="s">
        <v>518</v>
      </c>
      <c r="AX73" s="1" t="s">
        <v>519</v>
      </c>
    </row>
    <row r="74" spans="5:50" ht="12">
      <c r="E74" s="13"/>
      <c r="F74" s="13"/>
      <c r="Q74" s="1" t="s">
        <v>520</v>
      </c>
      <c r="S74" s="12">
        <f>64.6+(20*LOG(U20))-(15*LOG(U13))</f>
        <v>58.859687322722806</v>
      </c>
      <c r="T74" s="12" t="e">
        <f>64.6+(20*LOG(V20))-(15*LOG(V13))</f>
        <v>#NUM!</v>
      </c>
      <c r="U74" s="12" t="e">
        <f>64.6+(20*LOG(W20))-(15*LOG(W13))</f>
        <v>#NUM!</v>
      </c>
      <c r="V74" s="12" t="e">
        <f>64.6+(20*LOG(X20))-(15*LOG(X13))</f>
        <v>#NUM!</v>
      </c>
      <c r="AB74" s="19"/>
      <c r="AC74" s="19"/>
      <c r="AD74" s="19"/>
      <c r="AE74" s="19"/>
      <c r="AF74" s="4"/>
      <c r="AR74" s="1" t="s">
        <v>521</v>
      </c>
      <c r="AX74" s="1" t="s">
        <v>516</v>
      </c>
    </row>
    <row r="75" spans="5:50" ht="12">
      <c r="E75" s="13"/>
      <c r="F75" s="13"/>
      <c r="R75" s="1" t="s">
        <v>429</v>
      </c>
      <c r="S75" s="12">
        <f aca="true" t="shared" si="3" ref="S75:V76">10*LOG(S114*((1-U$41)+(10*U$41)))-49.4</f>
        <v>0.4490968414780525</v>
      </c>
      <c r="T75" s="12" t="e">
        <f t="shared" si="3"/>
        <v>#NUM!</v>
      </c>
      <c r="U75" s="12" t="e">
        <f t="shared" si="3"/>
        <v>#NUM!</v>
      </c>
      <c r="V75" s="12" t="e">
        <f t="shared" si="3"/>
        <v>#NUM!</v>
      </c>
      <c r="Z75" s="1" t="s">
        <v>522</v>
      </c>
      <c r="AB75" s="19" t="e">
        <f>71.4+20*LOG(AC28)+10*LOG(AB72)-15*LOG(AC12)</f>
        <v>#NUM!</v>
      </c>
      <c r="AC75" s="19" t="e">
        <f>71.4+20*LOG(AD28)+10*LOG(AC72)-15*LOG(AD12)</f>
        <v>#NUM!</v>
      </c>
      <c r="AD75" s="19" t="e">
        <f>71.4+20*LOG(AE28)+10*LOG(AD72)-15*LOG(AE12)</f>
        <v>#NUM!</v>
      </c>
      <c r="AE75" s="19"/>
      <c r="AF75" s="4"/>
      <c r="AR75" s="1" t="s">
        <v>523</v>
      </c>
      <c r="AX75" s="1" t="s">
        <v>524</v>
      </c>
    </row>
    <row r="76" spans="1:50" ht="12">
      <c r="A76" s="1" t="s">
        <v>525</v>
      </c>
      <c r="E76" s="12">
        <f>10*LOG(10^((E69)/10)+10^((E73)/10)+10^((E71)/10))</f>
        <v>68.12113726746036</v>
      </c>
      <c r="F76" s="12">
        <f>10*LOG(10^((F69)/10)+10^((F73)/10)+10^((F71)/10))</f>
        <v>68.72593329406804</v>
      </c>
      <c r="G76" s="18">
        <f>G69</f>
        <v>2010</v>
      </c>
      <c r="R76" s="1" t="s">
        <v>435</v>
      </c>
      <c r="S76" s="12">
        <f t="shared" si="3"/>
        <v>1.0540891710480196</v>
      </c>
      <c r="T76" s="12" t="e">
        <f t="shared" si="3"/>
        <v>#NUM!</v>
      </c>
      <c r="U76" s="12" t="e">
        <f t="shared" si="3"/>
        <v>#NUM!</v>
      </c>
      <c r="V76" s="12" t="e">
        <f t="shared" si="3"/>
        <v>#NUM!</v>
      </c>
      <c r="Z76" s="1" t="s">
        <v>526</v>
      </c>
      <c r="AB76" s="19" t="e">
        <f>71.4+20*LOG(AC28)+10*LOG(AB73)-15*LOG(AC12)</f>
        <v>#NUM!</v>
      </c>
      <c r="AC76" s="19" t="e">
        <f>71.4+20*LOG(AD28)+10*LOG(AC73)-15*LOG(AD12)</f>
        <v>#NUM!</v>
      </c>
      <c r="AD76" s="19" t="e">
        <f>71.4+20*LOG(AE28)+10*LOG(AD73)-15*LOG(AE12)</f>
        <v>#NUM!</v>
      </c>
      <c r="AE76" s="19"/>
      <c r="AF76" s="4"/>
      <c r="AR76" s="1" t="s">
        <v>527</v>
      </c>
      <c r="AX76" s="1" t="s">
        <v>528</v>
      </c>
    </row>
    <row r="77" spans="1:50" ht="12">
      <c r="A77" s="1" t="s">
        <v>529</v>
      </c>
      <c r="Q77" s="1" t="s">
        <v>530</v>
      </c>
      <c r="R77" s="12"/>
      <c r="S77" s="12"/>
      <c r="AB77" s="19"/>
      <c r="AC77" s="19"/>
      <c r="AD77" s="19"/>
      <c r="AE77" s="19"/>
      <c r="AF77" s="4"/>
      <c r="AR77" s="1" t="s">
        <v>531</v>
      </c>
      <c r="AX77" s="1" t="s">
        <v>532</v>
      </c>
    </row>
    <row r="78" spans="17:50" ht="12">
      <c r="Q78" s="1" t="s">
        <v>533</v>
      </c>
      <c r="S78" s="12">
        <f>IF(U21&gt;50,T158,T156)</f>
        <v>79.21726222832956</v>
      </c>
      <c r="T78" s="12" t="e">
        <f>IF(V21&gt;50,U158,U156)</f>
        <v>#NUM!</v>
      </c>
      <c r="U78" s="12" t="e">
        <f>IF(W21&gt;50,V158,V156)</f>
        <v>#NUM!</v>
      </c>
      <c r="V78" s="12" t="e">
        <f>IF(X21&gt;50,W158,W156)</f>
        <v>#NUM!</v>
      </c>
      <c r="AF78" s="4"/>
      <c r="AR78" s="1" t="s">
        <v>534</v>
      </c>
      <c r="AX78" s="1" t="s">
        <v>535</v>
      </c>
    </row>
    <row r="79" spans="1:50" ht="12">
      <c r="A79" s="1" t="s">
        <v>536</v>
      </c>
      <c r="D79" s="18" t="str">
        <f>IF(F76&lt;65,G79,H79)</f>
        <v>_</v>
      </c>
      <c r="E79" s="1" t="s">
        <v>537</v>
      </c>
      <c r="G79" s="24" t="s">
        <v>538</v>
      </c>
      <c r="H79" s="25" t="s">
        <v>27</v>
      </c>
      <c r="R79" s="1" t="s">
        <v>429</v>
      </c>
      <c r="S79" s="12">
        <f>10*LOG(T88*((1-U41)+(10*U41)))-49.4</f>
        <v>-11.709921290562264</v>
      </c>
      <c r="T79" s="12" t="e">
        <f>10*LOG(U88*((1-V41)+(10*V41)))-49.4</f>
        <v>#NUM!</v>
      </c>
      <c r="U79" s="12" t="e">
        <f>10*LOG(V88*((1-W41)+(10*W41)))-49.4</f>
        <v>#NUM!</v>
      </c>
      <c r="V79" s="12" t="e">
        <f>10*LOG(W88*((1-X41)+(10*X41)))-49.4</f>
        <v>#NUM!</v>
      </c>
      <c r="AF79" s="4"/>
      <c r="AR79" s="1" t="s">
        <v>539</v>
      </c>
      <c r="AX79" s="1" t="s">
        <v>540</v>
      </c>
    </row>
    <row r="80" spans="18:50" ht="12">
      <c r="R80" s="1" t="s">
        <v>435</v>
      </c>
      <c r="S80" s="12">
        <f>10*LOG(T89*((1-U41)+(10*U41)))-49.4</f>
        <v>-11.104928960992297</v>
      </c>
      <c r="T80" s="12" t="e">
        <f>10*LOG(U89*((1-V41)+(10*V41)))-49.4</f>
        <v>#NUM!</v>
      </c>
      <c r="U80" s="12" t="e">
        <f>10*LOG(V89*((1-W41)+(10*W41)))-49.4</f>
        <v>#NUM!</v>
      </c>
      <c r="V80" s="12" t="e">
        <f>10*LOG(W89*((1-X41)+(10*X41)))-49.4</f>
        <v>#NUM!</v>
      </c>
      <c r="AF80" s="4"/>
      <c r="AR80" s="1" t="s">
        <v>541</v>
      </c>
      <c r="AX80" s="1" t="s">
        <v>542</v>
      </c>
    </row>
    <row r="81" spans="4:59" ht="12">
      <c r="D81" s="18" t="str">
        <f>IF(AND(F76&gt;64.9,F76&lt;75.1),G79,H79)</f>
        <v>X</v>
      </c>
      <c r="E81" s="1" t="s">
        <v>543</v>
      </c>
      <c r="H81" s="1" t="s">
        <v>544</v>
      </c>
      <c r="Y81" s="1" t="s">
        <v>364</v>
      </c>
      <c r="AB81" s="1" t="s">
        <v>209</v>
      </c>
      <c r="AF81" s="4"/>
      <c r="AR81" s="1" t="s">
        <v>545</v>
      </c>
      <c r="AX81" s="1" t="s">
        <v>540</v>
      </c>
      <c r="BE81" s="1" t="s">
        <v>14</v>
      </c>
      <c r="BF81" s="1" t="s">
        <v>546</v>
      </c>
      <c r="BG81" s="1" t="s">
        <v>35</v>
      </c>
    </row>
    <row r="82" spans="17:50" ht="12">
      <c r="Q82" s="1" t="s">
        <v>547</v>
      </c>
      <c r="S82" s="12">
        <f>IF(U22&gt;50,T159,T156)</f>
        <v>79.21726222832956</v>
      </c>
      <c r="T82" s="12" t="e">
        <f>IF(V22&gt;50,U159,U156)</f>
        <v>#NUM!</v>
      </c>
      <c r="U82" s="12" t="e">
        <f>IF(W22&gt;50,V159,V156)</f>
        <v>#NUM!</v>
      </c>
      <c r="V82" s="12" t="e">
        <f>IF(X22&gt;50,W159,W156)</f>
        <v>#NUM!</v>
      </c>
      <c r="AR82" s="1" t="s">
        <v>548</v>
      </c>
      <c r="AX82" s="1" t="s">
        <v>549</v>
      </c>
    </row>
    <row r="83" spans="4:64" ht="12">
      <c r="D83" s="18" t="str">
        <f>IF(F76&gt;75,G79,H79)</f>
        <v>_</v>
      </c>
      <c r="E83" s="1" t="s">
        <v>550</v>
      </c>
      <c r="R83" s="1" t="s">
        <v>551</v>
      </c>
      <c r="S83" s="12">
        <f aca="true" t="shared" si="4" ref="S83:V84">IF(T97&gt;0,10*LOG(T97*((1-U$41)+(10*U$41)))-49.4,10*LOG(1*((1-U$41)+(10*U$41)))-49.4)</f>
        <v>-45.68932137728264</v>
      </c>
      <c r="T83" s="12">
        <f t="shared" si="4"/>
        <v>-49.4</v>
      </c>
      <c r="U83" s="12">
        <f t="shared" si="4"/>
        <v>-49.4</v>
      </c>
      <c r="V83" s="12">
        <f t="shared" si="4"/>
        <v>-49.4</v>
      </c>
      <c r="Y83" s="1" t="s">
        <v>552</v>
      </c>
      <c r="AR83" s="1" t="s">
        <v>553</v>
      </c>
      <c r="AX83" s="1" t="s">
        <v>540</v>
      </c>
      <c r="BE83" s="1" t="s">
        <v>48</v>
      </c>
      <c r="BF83" s="1" t="s">
        <v>49</v>
      </c>
      <c r="BG83" s="1" t="s">
        <v>123</v>
      </c>
      <c r="BH83" s="1" t="s">
        <v>124</v>
      </c>
      <c r="BI83" s="1" t="s">
        <v>52</v>
      </c>
      <c r="BJ83" s="1" t="s">
        <v>51</v>
      </c>
      <c r="BK83" s="1" t="s">
        <v>510</v>
      </c>
      <c r="BL83" s="4"/>
    </row>
    <row r="84" spans="18:64" ht="12">
      <c r="R84" s="1" t="s">
        <v>435</v>
      </c>
      <c r="S84" s="12">
        <f t="shared" si="4"/>
        <v>-45.68932137728264</v>
      </c>
      <c r="T84" s="12">
        <f t="shared" si="4"/>
        <v>-49.4</v>
      </c>
      <c r="U84" s="12">
        <f t="shared" si="4"/>
        <v>-49.4</v>
      </c>
      <c r="V84" s="12">
        <f t="shared" si="4"/>
        <v>-49.4</v>
      </c>
      <c r="AR84" s="1" t="s">
        <v>554</v>
      </c>
      <c r="AX84" s="1" t="s">
        <v>555</v>
      </c>
      <c r="BE84" s="1" t="s">
        <v>556</v>
      </c>
      <c r="BF84" s="1" t="s">
        <v>557</v>
      </c>
      <c r="BG84" s="1" t="s">
        <v>558</v>
      </c>
      <c r="BH84" s="1" t="s">
        <v>559</v>
      </c>
      <c r="BI84" s="1" t="s">
        <v>560</v>
      </c>
      <c r="BJ84" s="1" t="s">
        <v>561</v>
      </c>
      <c r="BK84" s="1" t="s">
        <v>562</v>
      </c>
      <c r="BL84" s="4"/>
    </row>
    <row r="85" spans="25:64" ht="12">
      <c r="Y85" s="6" t="s">
        <v>40</v>
      </c>
      <c r="Z85" s="4"/>
      <c r="AA85" s="4"/>
      <c r="AB85" s="4"/>
      <c r="AC85" s="4"/>
      <c r="AD85" s="4"/>
      <c r="AE85" s="4"/>
      <c r="AR85" s="1" t="s">
        <v>563</v>
      </c>
      <c r="AX85" s="1" t="s">
        <v>564</v>
      </c>
      <c r="BE85" s="1" t="s">
        <v>565</v>
      </c>
      <c r="BF85" s="1" t="s">
        <v>511</v>
      </c>
      <c r="BG85" s="1" t="s">
        <v>553</v>
      </c>
      <c r="BH85" s="1" t="s">
        <v>566</v>
      </c>
      <c r="BI85" s="1" t="s">
        <v>567</v>
      </c>
      <c r="BJ85" s="1" t="s">
        <v>568</v>
      </c>
      <c r="BK85" s="1" t="s">
        <v>565</v>
      </c>
      <c r="BL85" s="4"/>
    </row>
    <row r="86" spans="2:64" ht="12">
      <c r="B86" s="13">
        <f>IF(F76&gt;65,(F76-45+3),H79)</f>
        <v>26.725933294068042</v>
      </c>
      <c r="C86" s="1" t="s">
        <v>569</v>
      </c>
      <c r="Q86" s="1" t="s">
        <v>570</v>
      </c>
      <c r="Y86" s="6" t="s">
        <v>42</v>
      </c>
      <c r="Z86" s="4"/>
      <c r="AA86" s="4"/>
      <c r="AB86" s="4"/>
      <c r="AC86" s="4"/>
      <c r="AD86" s="4"/>
      <c r="AE86" s="4"/>
      <c r="AR86" s="1" t="s">
        <v>571</v>
      </c>
      <c r="AX86" s="1" t="s">
        <v>572</v>
      </c>
      <c r="BE86" s="1" t="s">
        <v>573</v>
      </c>
      <c r="BF86" s="1" t="s">
        <v>515</v>
      </c>
      <c r="BG86" s="1" t="s">
        <v>554</v>
      </c>
      <c r="BH86" s="1" t="s">
        <v>574</v>
      </c>
      <c r="BI86" s="1" t="s">
        <v>575</v>
      </c>
      <c r="BJ86" s="1" t="s">
        <v>576</v>
      </c>
      <c r="BK86" s="1" t="s">
        <v>573</v>
      </c>
      <c r="BL86" s="4"/>
    </row>
    <row r="87" spans="17:64" ht="12">
      <c r="Q87" s="1" t="s">
        <v>209</v>
      </c>
      <c r="Y87" s="6" t="s">
        <v>55</v>
      </c>
      <c r="Z87" s="4"/>
      <c r="AA87" s="4"/>
      <c r="AB87" s="4"/>
      <c r="AC87" s="4"/>
      <c r="AD87" s="4"/>
      <c r="AE87" s="4"/>
      <c r="AR87" s="1" t="s">
        <v>577</v>
      </c>
      <c r="AX87" s="1" t="s">
        <v>578</v>
      </c>
      <c r="BE87" s="1" t="s">
        <v>579</v>
      </c>
      <c r="BF87" s="1" t="s">
        <v>518</v>
      </c>
      <c r="BG87" s="1" t="s">
        <v>563</v>
      </c>
      <c r="BH87" s="1" t="s">
        <v>580</v>
      </c>
      <c r="BI87" s="1" t="s">
        <v>581</v>
      </c>
      <c r="BK87" s="1" t="s">
        <v>579</v>
      </c>
      <c r="BL87" s="4"/>
    </row>
    <row r="88" spans="17:64" ht="12">
      <c r="Q88" s="1" t="s">
        <v>582</v>
      </c>
      <c r="R88" s="1" t="s">
        <v>429</v>
      </c>
      <c r="T88" s="18">
        <f>T91*T$94</f>
        <v>2500</v>
      </c>
      <c r="U88" s="18">
        <f>U91*U94</f>
        <v>0</v>
      </c>
      <c r="V88" s="18">
        <f>V91*V94</f>
        <v>0</v>
      </c>
      <c r="W88" s="18">
        <f>W91*W94</f>
        <v>0</v>
      </c>
      <c r="AR88" s="1" t="s">
        <v>583</v>
      </c>
      <c r="AX88" s="1" t="s">
        <v>584</v>
      </c>
      <c r="BE88" s="1" t="s">
        <v>585</v>
      </c>
      <c r="BF88" s="1" t="s">
        <v>521</v>
      </c>
      <c r="BG88" s="1" t="s">
        <v>571</v>
      </c>
      <c r="BH88" s="1" t="s">
        <v>586</v>
      </c>
      <c r="BI88" s="1" t="s">
        <v>587</v>
      </c>
      <c r="BK88" s="1" t="s">
        <v>585</v>
      </c>
      <c r="BL88" s="4"/>
    </row>
    <row r="89" spans="18:64" ht="12">
      <c r="R89" s="1" t="s">
        <v>435</v>
      </c>
      <c r="T89" s="13">
        <f>T92*T$94</f>
        <v>2873.6855330940566</v>
      </c>
      <c r="U89" s="13">
        <f>U92*U$94</f>
        <v>0</v>
      </c>
      <c r="V89" s="13">
        <f>V92*V$94</f>
        <v>0</v>
      </c>
      <c r="W89" s="13">
        <f>W92*W$94</f>
        <v>0</v>
      </c>
      <c r="Y89" s="1" t="s">
        <v>99</v>
      </c>
      <c r="AC89" s="1" t="s">
        <v>100</v>
      </c>
      <c r="AD89" s="1" t="s">
        <v>101</v>
      </c>
      <c r="AE89" s="1" t="s">
        <v>102</v>
      </c>
      <c r="AR89" s="1" t="s">
        <v>588</v>
      </c>
      <c r="AX89" s="1" t="s">
        <v>589</v>
      </c>
      <c r="BE89" s="1" t="s">
        <v>590</v>
      </c>
      <c r="BF89" s="1" t="s">
        <v>523</v>
      </c>
      <c r="BG89" s="1" t="s">
        <v>577</v>
      </c>
      <c r="BH89" s="1" t="s">
        <v>591</v>
      </c>
      <c r="BI89" s="1" t="s">
        <v>592</v>
      </c>
      <c r="BK89" s="1" t="s">
        <v>590</v>
      </c>
      <c r="BL89" s="4"/>
    </row>
    <row r="90" spans="44:64" ht="12">
      <c r="AR90" s="1" t="s">
        <v>593</v>
      </c>
      <c r="AX90" s="1" t="s">
        <v>584</v>
      </c>
      <c r="BE90" s="1" t="s">
        <v>594</v>
      </c>
      <c r="BF90" s="1" t="s">
        <v>527</v>
      </c>
      <c r="BG90" s="1" t="s">
        <v>583</v>
      </c>
      <c r="BH90" s="1" t="s">
        <v>576</v>
      </c>
      <c r="BI90" s="1" t="s">
        <v>595</v>
      </c>
      <c r="BK90" s="1" t="s">
        <v>594</v>
      </c>
      <c r="BL90" s="4"/>
    </row>
    <row r="91" spans="17:64" ht="12">
      <c r="Q91" s="1" t="s">
        <v>596</v>
      </c>
      <c r="S91" s="1" t="s">
        <v>429</v>
      </c>
      <c r="T91" s="18">
        <f>IF(U15&lt;601,S123,(U33+U37/2))</f>
        <v>2500</v>
      </c>
      <c r="U91" s="18">
        <f>IF(V15&lt;601,T123,(V33+V37/2))</f>
        <v>0</v>
      </c>
      <c r="V91" s="18">
        <f>IF(W15&lt;601,U123,(W33+W37/2))</f>
        <v>0</v>
      </c>
      <c r="W91" s="18">
        <f>IF(X15&lt;601,V123,(X33+X37/2))</f>
        <v>0</v>
      </c>
      <c r="Y91" s="1" t="s">
        <v>597</v>
      </c>
      <c r="AC91" s="4"/>
      <c r="AD91" s="4"/>
      <c r="AE91" s="4"/>
      <c r="AF91" s="23" t="e">
        <f>$AC$93+10*LOG($AC$91*((1-$AC$96)+(10*$AC$96)))-49.4</f>
        <v>#NUM!</v>
      </c>
      <c r="AR91" s="1" t="s">
        <v>598</v>
      </c>
      <c r="AX91" s="1" t="s">
        <v>599</v>
      </c>
      <c r="BE91" s="1" t="s">
        <v>600</v>
      </c>
      <c r="BF91" s="1" t="s">
        <v>531</v>
      </c>
      <c r="BG91" s="1" t="s">
        <v>588</v>
      </c>
      <c r="BI91" s="1" t="s">
        <v>601</v>
      </c>
      <c r="BK91" s="1" t="s">
        <v>600</v>
      </c>
      <c r="BL91" s="4"/>
    </row>
    <row r="92" spans="19:64" ht="12">
      <c r="S92" s="1" t="s">
        <v>435</v>
      </c>
      <c r="T92" s="13">
        <f>IF(U15&lt;601,S130,(U34+U37/2))</f>
        <v>2873.6855330940566</v>
      </c>
      <c r="U92" s="13">
        <f>IF(V15&lt;601,T130,(V34+V37/2))</f>
        <v>0</v>
      </c>
      <c r="V92" s="13">
        <f>IF(W15&lt;601,U130,(W34+W37/2))</f>
        <v>0</v>
      </c>
      <c r="W92" s="13">
        <f>IF(X15&lt;601,V130,(X34+X37/2))</f>
        <v>0</v>
      </c>
      <c r="AF92" s="23" t="e">
        <f>10*LOG($AC$91*((1-$AC$96)+(10*$AC$96)))</f>
        <v>#NUM!</v>
      </c>
      <c r="AR92" s="1" t="s">
        <v>566</v>
      </c>
      <c r="AX92" s="1" t="s">
        <v>602</v>
      </c>
      <c r="BE92" s="1" t="s">
        <v>603</v>
      </c>
      <c r="BF92" s="1" t="s">
        <v>534</v>
      </c>
      <c r="BG92" s="1" t="s">
        <v>593</v>
      </c>
      <c r="BI92" s="1" t="s">
        <v>604</v>
      </c>
      <c r="BK92" s="1" t="s">
        <v>603</v>
      </c>
      <c r="BL92" s="4"/>
    </row>
    <row r="93" spans="25:64" ht="12">
      <c r="Y93" s="1" t="s">
        <v>605</v>
      </c>
      <c r="AC93" s="4"/>
      <c r="AD93" s="4"/>
      <c r="AE93" s="4"/>
      <c r="AF93" s="23" t="e">
        <f>$AC$93+10*LOG(90*$AC$91*((1-$AC$96)+(10*$AC$96)))-49.4</f>
        <v>#NUM!</v>
      </c>
      <c r="AR93" s="1" t="s">
        <v>574</v>
      </c>
      <c r="AX93" s="1" t="s">
        <v>606</v>
      </c>
      <c r="BE93" s="1" t="s">
        <v>607</v>
      </c>
      <c r="BF93" s="1" t="s">
        <v>539</v>
      </c>
      <c r="BG93" s="1" t="s">
        <v>598</v>
      </c>
      <c r="BI93" s="1" t="s">
        <v>608</v>
      </c>
      <c r="BK93" s="1" t="s">
        <v>607</v>
      </c>
      <c r="BL93" s="4"/>
    </row>
    <row r="94" spans="17:64" ht="12">
      <c r="Q94" s="1" t="s">
        <v>609</v>
      </c>
      <c r="T94" s="18">
        <f>IF(U17&lt;&gt;0,S151,1)</f>
        <v>1</v>
      </c>
      <c r="U94" s="18">
        <f>IF(V17&lt;&gt;0,T151,1)</f>
        <v>1</v>
      </c>
      <c r="V94" s="18">
        <f>IF(W17&lt;&gt;0,U151,1)</f>
        <v>1</v>
      </c>
      <c r="W94" s="18">
        <f>IF(X17&lt;&gt;0,V151,1)</f>
        <v>1</v>
      </c>
      <c r="AF94" s="23"/>
      <c r="AR94" s="1" t="s">
        <v>580</v>
      </c>
      <c r="AX94" s="1" t="s">
        <v>610</v>
      </c>
      <c r="BE94" s="1" t="s">
        <v>576</v>
      </c>
      <c r="BF94" s="1" t="s">
        <v>541</v>
      </c>
      <c r="BG94" s="1" t="s">
        <v>576</v>
      </c>
      <c r="BI94" s="1" t="s">
        <v>611</v>
      </c>
      <c r="BK94" s="1" t="s">
        <v>511</v>
      </c>
      <c r="BL94" s="4"/>
    </row>
    <row r="95" spans="1:64" ht="12">
      <c r="A95" s="1" t="s">
        <v>612</v>
      </c>
      <c r="F95" s="1" t="s">
        <v>613</v>
      </c>
      <c r="Y95" s="1" t="s">
        <v>196</v>
      </c>
      <c r="AF95" s="23"/>
      <c r="AR95" s="1" t="s">
        <v>586</v>
      </c>
      <c r="AX95" s="1" t="s">
        <v>614</v>
      </c>
      <c r="BF95" s="1" t="s">
        <v>545</v>
      </c>
      <c r="BI95" s="1" t="s">
        <v>81</v>
      </c>
      <c r="BK95" s="1" t="s">
        <v>515</v>
      </c>
      <c r="BL95" s="4"/>
    </row>
    <row r="96" spans="17:64" ht="12">
      <c r="Q96" s="1" t="s">
        <v>615</v>
      </c>
      <c r="Z96" s="1" t="s">
        <v>210</v>
      </c>
      <c r="AC96" s="4"/>
      <c r="AD96" s="4"/>
      <c r="AE96" s="4"/>
      <c r="AF96" s="23"/>
      <c r="AR96" s="1" t="s">
        <v>591</v>
      </c>
      <c r="AX96" s="1" t="s">
        <v>616</v>
      </c>
      <c r="BF96" s="1" t="s">
        <v>548</v>
      </c>
      <c r="BI96" s="1" t="s">
        <v>576</v>
      </c>
      <c r="BK96" s="1" t="s">
        <v>518</v>
      </c>
      <c r="BL96" s="4"/>
    </row>
    <row r="97" spans="17:64" ht="12">
      <c r="Q97" s="1" t="s">
        <v>617</v>
      </c>
      <c r="S97" s="1" t="s">
        <v>429</v>
      </c>
      <c r="T97" s="18">
        <f>IF(U15&lt;601,S137,(U35+U37/2))</f>
        <v>0</v>
      </c>
      <c r="U97" s="18">
        <f>IF(V15&lt;601,T137,(V35+V37/2))</f>
        <v>0</v>
      </c>
      <c r="V97" s="18">
        <f>IF(W15&lt;601,U137,(W35+W37/2))</f>
        <v>0</v>
      </c>
      <c r="W97" s="18">
        <f>IF(X15&lt;601,V137,(X35+X37/2))</f>
        <v>0</v>
      </c>
      <c r="AF97" s="23"/>
      <c r="AR97" s="1" t="s">
        <v>567</v>
      </c>
      <c r="AX97" s="1" t="s">
        <v>618</v>
      </c>
      <c r="BF97" s="1" t="s">
        <v>576</v>
      </c>
      <c r="BK97" s="1" t="s">
        <v>521</v>
      </c>
      <c r="BL97" s="4"/>
    </row>
    <row r="98" spans="19:64" ht="12">
      <c r="S98" s="1" t="s">
        <v>435</v>
      </c>
      <c r="T98" s="13">
        <f>IF(U15&lt;601,S144,(U36+U37/2))</f>
        <v>0</v>
      </c>
      <c r="U98" s="13">
        <f>IF(V15&lt;601,T144,(V36+V37/2))</f>
        <v>0</v>
      </c>
      <c r="V98" s="13">
        <f>IF(W15&lt;601,U144,(W36+W37/2))</f>
        <v>0</v>
      </c>
      <c r="W98" s="13">
        <f>IF(X15&lt;601,V144,(X36+X37/2))</f>
        <v>0</v>
      </c>
      <c r="Y98" s="1" t="s">
        <v>619</v>
      </c>
      <c r="AC98" s="4"/>
      <c r="AD98" s="4"/>
      <c r="AE98" s="4"/>
      <c r="AF98" s="23">
        <f>AC98*5280</f>
        <v>0</v>
      </c>
      <c r="AR98" s="1" t="s">
        <v>575</v>
      </c>
      <c r="BK98" s="1" t="s">
        <v>523</v>
      </c>
      <c r="BL98" s="4"/>
    </row>
    <row r="99" spans="44:64" ht="12">
      <c r="AR99" s="1" t="s">
        <v>581</v>
      </c>
      <c r="BK99" s="1" t="s">
        <v>527</v>
      </c>
      <c r="BL99" s="4"/>
    </row>
    <row r="100" spans="14:64" ht="12">
      <c r="N100" s="18">
        <f>IF(N22&lt;110,18.1,N101)</f>
        <v>18.1</v>
      </c>
      <c r="O100" s="18">
        <f>IF(O22&lt;110,18.1,O101)</f>
        <v>18.1</v>
      </c>
      <c r="P100" s="18">
        <f>IF(P22&lt;110,18.1,P101)</f>
        <v>18.1</v>
      </c>
      <c r="R100" s="1" t="s">
        <v>620</v>
      </c>
      <c r="T100" s="1" t="s">
        <v>209</v>
      </c>
      <c r="AR100" s="1" t="s">
        <v>621</v>
      </c>
      <c r="BK100" s="1" t="s">
        <v>531</v>
      </c>
      <c r="BL100" s="4"/>
    </row>
    <row r="101" spans="14:64" ht="12">
      <c r="N101" s="18">
        <f>IF(N$22&lt;210,18.6,N102)</f>
        <v>18.6</v>
      </c>
      <c r="O101" s="18">
        <f>IF(O$22&lt;210,18.6,O102)</f>
        <v>18.6</v>
      </c>
      <c r="P101" s="18">
        <f>IF(P$22&lt;210,18.6,P102)</f>
        <v>18.6</v>
      </c>
      <c r="R101" s="1" t="s">
        <v>622</v>
      </c>
      <c r="S101" s="1" t="s">
        <v>623</v>
      </c>
      <c r="AR101" s="1" t="s">
        <v>624</v>
      </c>
      <c r="BE101" s="1" t="s">
        <v>625</v>
      </c>
      <c r="BF101" s="1" t="s">
        <v>626</v>
      </c>
      <c r="BK101" s="1" t="s">
        <v>534</v>
      </c>
      <c r="BL101" s="4"/>
    </row>
    <row r="102" spans="14:64" ht="12">
      <c r="N102" s="18">
        <f>IF(N$22&lt;310,19.1,N103)</f>
        <v>19.1</v>
      </c>
      <c r="O102" s="18">
        <f>IF(O$22&lt;310,19.1,O103)</f>
        <v>19.1</v>
      </c>
      <c r="P102" s="18">
        <f>IF(P$22&lt;310,19.1,P103)</f>
        <v>19.1</v>
      </c>
      <c r="R102" s="8" t="s">
        <v>85</v>
      </c>
      <c r="S102" s="8" t="s">
        <v>86</v>
      </c>
      <c r="T102" s="8" t="s">
        <v>87</v>
      </c>
      <c r="U102" s="8" t="s">
        <v>88</v>
      </c>
      <c r="AC102" s="1" t="s">
        <v>347</v>
      </c>
      <c r="AR102" s="1" t="s">
        <v>627</v>
      </c>
      <c r="BK102" s="1" t="s">
        <v>539</v>
      </c>
      <c r="BL102" s="4"/>
    </row>
    <row r="103" spans="10:64" ht="12">
      <c r="J103" s="1" t="s">
        <v>628</v>
      </c>
      <c r="N103" s="18">
        <f>IF(N$22&lt;410,19.6,N104)</f>
        <v>19.6</v>
      </c>
      <c r="O103" s="18">
        <f>IF(O$22&lt;410,19.6,O104)</f>
        <v>19.6</v>
      </c>
      <c r="P103" s="18">
        <f>IF(P$22&lt;410,19.6,P104)</f>
        <v>19.6</v>
      </c>
      <c r="AC103" s="8" t="s">
        <v>352</v>
      </c>
      <c r="AD103" s="8" t="s">
        <v>353</v>
      </c>
      <c r="AE103" s="8" t="s">
        <v>354</v>
      </c>
      <c r="AR103" s="1" t="s">
        <v>629</v>
      </c>
      <c r="BE103" s="1" t="s">
        <v>630</v>
      </c>
      <c r="BF103" s="1" t="s">
        <v>631</v>
      </c>
      <c r="BK103" s="1" t="s">
        <v>541</v>
      </c>
      <c r="BL103" s="4"/>
    </row>
    <row r="104" spans="10:64" ht="12">
      <c r="J104" s="1" t="s">
        <v>632</v>
      </c>
      <c r="N104" s="18">
        <f>IF(N$22&lt;510,20.1,N105)</f>
        <v>20.1</v>
      </c>
      <c r="O104" s="18">
        <f>IF(O$22&lt;510,20.1,O105)</f>
        <v>20.1</v>
      </c>
      <c r="P104" s="18">
        <f>IF(P$22&lt;510,20.1,P105)</f>
        <v>20.1</v>
      </c>
      <c r="R104" s="12">
        <f aca="true" t="shared" si="5" ref="R104:U106">((U20*5280*12)/39.37)/(60*60)</f>
        <v>13.411226822453646</v>
      </c>
      <c r="S104" s="12">
        <f t="shared" si="5"/>
        <v>0</v>
      </c>
      <c r="T104" s="12">
        <f t="shared" si="5"/>
        <v>0</v>
      </c>
      <c r="U104" s="12">
        <f t="shared" si="5"/>
        <v>0</v>
      </c>
      <c r="AR104" s="1" t="s">
        <v>565</v>
      </c>
      <c r="BK104" s="1" t="s">
        <v>545</v>
      </c>
      <c r="BL104" s="4"/>
    </row>
    <row r="105" spans="14:64" ht="12">
      <c r="N105" s="18">
        <f>IF(N$22&lt;610,20.6,N106)</f>
        <v>20.6</v>
      </c>
      <c r="O105" s="18">
        <f>IF(O$22&lt;610,20.6,O106)</f>
        <v>20.6</v>
      </c>
      <c r="P105" s="18">
        <f>IF(P$22&lt;610,20.6,P106)</f>
        <v>20.6</v>
      </c>
      <c r="R105" s="12">
        <f t="shared" si="5"/>
        <v>13.411226822453646</v>
      </c>
      <c r="S105" s="12">
        <f t="shared" si="5"/>
        <v>0</v>
      </c>
      <c r="T105" s="12">
        <f t="shared" si="5"/>
        <v>0</v>
      </c>
      <c r="U105" s="12">
        <f t="shared" si="5"/>
        <v>0</v>
      </c>
      <c r="Y105" s="1" t="s">
        <v>405</v>
      </c>
      <c r="AC105" s="19">
        <f>IF(AC91=0,0,+AC93+10*LOG(AC91*((1-AC96)+(10*AC96)))-49.4)</f>
        <v>0</v>
      </c>
      <c r="AD105" s="19">
        <f>IF(AD91=0,0,+AD93+10*LOG(AD91*((1-AD96)+(10*AD96)))-49.4)</f>
        <v>0</v>
      </c>
      <c r="AE105" s="19">
        <f>IF(AE91=0,0,+AE93+10*LOG(AE91*((1-AE96)+(10*AE96)))-49.4)</f>
        <v>0</v>
      </c>
      <c r="AR105" s="1" t="s">
        <v>573</v>
      </c>
      <c r="BE105" s="1" t="s">
        <v>633</v>
      </c>
      <c r="BF105" s="1" t="s">
        <v>634</v>
      </c>
      <c r="BK105" s="1" t="s">
        <v>548</v>
      </c>
      <c r="BL105" s="4"/>
    </row>
    <row r="106" spans="14:64" ht="12">
      <c r="N106" s="18">
        <f>IF(N$22&lt;710,21.1,N107)</f>
        <v>21.1</v>
      </c>
      <c r="O106" s="18">
        <f>IF(O$22&lt;710,21.1,O107)</f>
        <v>21.1</v>
      </c>
      <c r="P106" s="18">
        <f>IF(P$22&lt;710,21.1,P107)</f>
        <v>21.1</v>
      </c>
      <c r="R106" s="12">
        <f t="shared" si="5"/>
        <v>13.411226822453646</v>
      </c>
      <c r="S106" s="12">
        <f t="shared" si="5"/>
        <v>0</v>
      </c>
      <c r="T106" s="12">
        <f t="shared" si="5"/>
        <v>0</v>
      </c>
      <c r="U106" s="12">
        <f t="shared" si="5"/>
        <v>0</v>
      </c>
      <c r="AC106" s="19"/>
      <c r="AD106" s="19"/>
      <c r="AE106" s="19"/>
      <c r="AR106" s="1" t="s">
        <v>579</v>
      </c>
      <c r="BK106" s="1" t="s">
        <v>553</v>
      </c>
      <c r="BL106" s="4"/>
    </row>
    <row r="107" spans="14:64" ht="12">
      <c r="N107" s="18">
        <f>IF(N$22&lt;810,21.6,N108)</f>
        <v>21.6</v>
      </c>
      <c r="O107" s="18">
        <f>IF(O$22&lt;810,21.6,O108)</f>
        <v>21.6</v>
      </c>
      <c r="P107" s="18">
        <f>IF(P$22&lt;810,21.6,P108)</f>
        <v>21.6</v>
      </c>
      <c r="Y107" s="3" t="s">
        <v>414</v>
      </c>
      <c r="Z107" s="4"/>
      <c r="AA107" s="4"/>
      <c r="AB107" s="4"/>
      <c r="AC107" s="23"/>
      <c r="AD107" s="23"/>
      <c r="AE107" s="23"/>
      <c r="AF107" s="4"/>
      <c r="AR107" s="1" t="s">
        <v>585</v>
      </c>
      <c r="BE107" s="1" t="s">
        <v>635</v>
      </c>
      <c r="BF107" s="1" t="s">
        <v>636</v>
      </c>
      <c r="BK107" s="1" t="s">
        <v>554</v>
      </c>
      <c r="BL107" s="4"/>
    </row>
    <row r="108" spans="14:64" ht="12">
      <c r="N108" s="18">
        <f>IF(N$22&lt;910,22.1,N109)</f>
        <v>22.1</v>
      </c>
      <c r="O108" s="18">
        <f>IF(O$22&lt;910,22.1,O109)</f>
        <v>22.1</v>
      </c>
      <c r="P108" s="18">
        <f>IF(P$22&lt;910,22.1,P109)</f>
        <v>22.1</v>
      </c>
      <c r="R108" s="1" t="s">
        <v>637</v>
      </c>
      <c r="Y108" s="4"/>
      <c r="Z108" s="3" t="s">
        <v>430</v>
      </c>
      <c r="AA108" s="4"/>
      <c r="AB108" s="4"/>
      <c r="AC108" s="19">
        <f>IF(AC105+AD105=0,0,10*LOG(10^((AC105)/10)+10^((AD105)/10)))</f>
        <v>0</v>
      </c>
      <c r="AD108" s="23"/>
      <c r="AE108" s="23"/>
      <c r="AF108" s="4"/>
      <c r="AR108" s="1" t="s">
        <v>590</v>
      </c>
      <c r="BF108" s="1" t="s">
        <v>638</v>
      </c>
      <c r="BK108" s="1" t="s">
        <v>563</v>
      </c>
      <c r="BL108" s="4"/>
    </row>
    <row r="109" spans="14:64" ht="12">
      <c r="N109" s="18">
        <f>IF(N$22&lt;1000,22.8,N110)</f>
        <v>22.8</v>
      </c>
      <c r="O109" s="18">
        <f>IF(O$22&lt;1000,22.8,O110)</f>
        <v>22.8</v>
      </c>
      <c r="P109" s="18">
        <f>IF(P$22&lt;1000,22.8,P110)</f>
        <v>22.8</v>
      </c>
      <c r="Y109" s="4"/>
      <c r="Z109" s="3" t="s">
        <v>436</v>
      </c>
      <c r="AA109" s="4"/>
      <c r="AB109" s="4"/>
      <c r="AC109" s="19">
        <f>IF(AD105+AE105=0,0,10*LOG(10^((AD105)/10)+10^((AE105)/10)))</f>
        <v>0</v>
      </c>
      <c r="AD109" s="23"/>
      <c r="AE109" s="23"/>
      <c r="AF109" s="4"/>
      <c r="AR109" s="1" t="s">
        <v>594</v>
      </c>
      <c r="BF109" s="1" t="s">
        <v>639</v>
      </c>
      <c r="BK109" s="1" t="s">
        <v>571</v>
      </c>
      <c r="BL109" s="4"/>
    </row>
    <row r="110" spans="18:64" ht="12">
      <c r="R110" s="1" t="s">
        <v>640</v>
      </c>
      <c r="Y110" s="4"/>
      <c r="Z110" s="3" t="s">
        <v>440</v>
      </c>
      <c r="AA110" s="4"/>
      <c r="AB110" s="4"/>
      <c r="AC110" s="19">
        <f>IF(AC108+AE105=0,0,10*LOG(10^((AC108)/10)+10^((AE105)/10)))</f>
        <v>0</v>
      </c>
      <c r="AD110" s="23"/>
      <c r="AE110" s="23"/>
      <c r="AF110" s="4"/>
      <c r="AR110" s="1" t="s">
        <v>600</v>
      </c>
      <c r="BK110" s="1" t="s">
        <v>577</v>
      </c>
      <c r="BL110" s="4"/>
    </row>
    <row r="111" spans="25:64" ht="12">
      <c r="Y111" s="4"/>
      <c r="AD111" s="23"/>
      <c r="AE111" s="23"/>
      <c r="AF111" s="4"/>
      <c r="AR111" s="1" t="s">
        <v>603</v>
      </c>
      <c r="BE111" s="1" t="s">
        <v>641</v>
      </c>
      <c r="BF111" s="1" t="s">
        <v>642</v>
      </c>
      <c r="BK111" s="1" t="s">
        <v>583</v>
      </c>
      <c r="BL111" s="4"/>
    </row>
    <row r="112" spans="14:64" ht="12">
      <c r="N112" s="18">
        <f>IF(N21&lt;110,18.1,N113)</f>
        <v>18.1</v>
      </c>
      <c r="O112" s="18">
        <f>IF(O21&lt;110,18.1,O113)</f>
        <v>18.1</v>
      </c>
      <c r="P112" s="18">
        <f>IF(P21&lt;110,18.1,P113)</f>
        <v>18.1</v>
      </c>
      <c r="S112" s="8" t="s">
        <v>85</v>
      </c>
      <c r="T112" s="8" t="s">
        <v>86</v>
      </c>
      <c r="U112" s="8" t="s">
        <v>87</v>
      </c>
      <c r="V112" s="8" t="s">
        <v>88</v>
      </c>
      <c r="Y112" s="4"/>
      <c r="AD112" s="23"/>
      <c r="AE112" s="23"/>
      <c r="AF112" s="4"/>
      <c r="AR112" s="1" t="s">
        <v>643</v>
      </c>
      <c r="BK112" s="1" t="s">
        <v>588</v>
      </c>
      <c r="BL112" s="4"/>
    </row>
    <row r="113" spans="14:64" ht="12">
      <c r="N113" s="18">
        <f>IF(N$21&lt;210,18.6,N114)</f>
        <v>18.6</v>
      </c>
      <c r="O113" s="18">
        <f>IF(O$21&lt;210,18.6,O114)</f>
        <v>18.6</v>
      </c>
      <c r="P113" s="18">
        <f>IF(P$21&lt;210,18.6,P114)</f>
        <v>18.6</v>
      </c>
      <c r="Y113" s="4"/>
      <c r="Z113" s="4"/>
      <c r="AA113" s="4"/>
      <c r="AB113" s="4"/>
      <c r="AC113" s="4"/>
      <c r="AD113" s="4"/>
      <c r="AE113" s="4"/>
      <c r="AF113" s="4"/>
      <c r="BK113" s="1" t="s">
        <v>593</v>
      </c>
      <c r="BL113" s="4"/>
    </row>
    <row r="114" spans="14:64" ht="12">
      <c r="N114" s="18">
        <f>IF(N$21&lt;310,19.1,N115)</f>
        <v>19.1</v>
      </c>
      <c r="O114" s="18">
        <f>IF(O$21&lt;310,19.1,O115)</f>
        <v>19.1</v>
      </c>
      <c r="P114" s="18">
        <f>IF(P$21&lt;310,19.1,P115)</f>
        <v>19.1</v>
      </c>
      <c r="R114" s="1" t="s">
        <v>429</v>
      </c>
      <c r="S114" s="18">
        <f>IF(U15&lt;600,((0.1+0.9*U15/600)*U29),U29)</f>
        <v>41100</v>
      </c>
      <c r="T114" s="18">
        <f>IF(V15&lt;600,((0.1+0.9*V15/600)*V29),V29)</f>
        <v>0</v>
      </c>
      <c r="U114" s="18">
        <f>IF(W15&lt;600,((0.1+0.9*W15/600)*W29),W29)</f>
        <v>0</v>
      </c>
      <c r="V114" s="18">
        <f>IF(X15&lt;600,((0.1+0.9*X15/600)*X29),X29)</f>
        <v>0</v>
      </c>
      <c r="Y114" s="4"/>
      <c r="Z114" s="4"/>
      <c r="AA114" s="4"/>
      <c r="AB114" s="4"/>
      <c r="AC114" s="4"/>
      <c r="AD114" s="4"/>
      <c r="AE114" s="4"/>
      <c r="AF114" s="4"/>
      <c r="AO114" s="1" t="s">
        <v>644</v>
      </c>
      <c r="AR114" s="1" t="s">
        <v>85</v>
      </c>
      <c r="AU114" s="1" t="s">
        <v>86</v>
      </c>
      <c r="BK114" s="1" t="s">
        <v>598</v>
      </c>
      <c r="BL114" s="4"/>
    </row>
    <row r="115" spans="10:64" ht="12">
      <c r="J115" s="1" t="s">
        <v>628</v>
      </c>
      <c r="N115" s="18">
        <f>IF(N$21&lt;410,19.6,N116)</f>
        <v>19.6</v>
      </c>
      <c r="O115" s="18">
        <f>IF(O$21&lt;410,19.6,O116)</f>
        <v>19.6</v>
      </c>
      <c r="P115" s="18">
        <f>IF(P$21&lt;410,19.6,P116)</f>
        <v>19.6</v>
      </c>
      <c r="R115" s="1" t="s">
        <v>435</v>
      </c>
      <c r="S115" s="13">
        <f>IF(U15&lt;600,((0.1+0.9*U15/600)*U30),U30)</f>
        <v>47243.39016406629</v>
      </c>
      <c r="T115" s="13">
        <f>IF(V15&lt;600,((0.1+0.9*V15/600)*V30),V30)</f>
        <v>0</v>
      </c>
      <c r="U115" s="13">
        <f>IF(W15&lt;600,((0.1+0.9*W15/600)*W30),W30)</f>
        <v>0</v>
      </c>
      <c r="V115" s="13">
        <f>IF(X15&lt;600,((0.1+0.9*X15/600)*X30),X30)</f>
        <v>0</v>
      </c>
      <c r="Y115" s="4"/>
      <c r="Z115" s="4"/>
      <c r="AA115" s="4"/>
      <c r="AB115" s="4"/>
      <c r="AC115" s="4"/>
      <c r="AD115" s="4"/>
      <c r="AE115" s="4"/>
      <c r="AF115" s="4"/>
      <c r="AR115" s="8" t="s">
        <v>645</v>
      </c>
      <c r="AU115" s="8" t="s">
        <v>646</v>
      </c>
      <c r="BK115" s="1" t="s">
        <v>566</v>
      </c>
      <c r="BL115" s="4"/>
    </row>
    <row r="116" spans="10:64" ht="12">
      <c r="J116" s="1" t="s">
        <v>647</v>
      </c>
      <c r="N116" s="18">
        <f>IF(N$21&lt;510,20.1,N117)</f>
        <v>20.1</v>
      </c>
      <c r="O116" s="18">
        <f>IF(O$21&lt;510,20.1,O117)</f>
        <v>20.1</v>
      </c>
      <c r="P116" s="18">
        <f>IF(P$21&lt;510,20.1,P117)</f>
        <v>20.1</v>
      </c>
      <c r="BK116" s="1" t="s">
        <v>574</v>
      </c>
      <c r="BL116" s="4"/>
    </row>
    <row r="117" spans="10:64" ht="12">
      <c r="J117" s="4"/>
      <c r="N117" s="18">
        <f>IF(N$21&lt;610,20.6,N118)</f>
        <v>20.6</v>
      </c>
      <c r="O117" s="18">
        <f>IF(O$21&lt;610,20.6,O118)</f>
        <v>20.6</v>
      </c>
      <c r="P117" s="18">
        <f>IF(P$21&lt;610,20.6,P118)</f>
        <v>20.6</v>
      </c>
      <c r="R117" s="1" t="s">
        <v>648</v>
      </c>
      <c r="AU117" s="1" t="s">
        <v>141</v>
      </c>
      <c r="BK117" s="1" t="s">
        <v>580</v>
      </c>
      <c r="BL117" s="4"/>
    </row>
    <row r="118" spans="10:64" ht="12">
      <c r="J118" s="4"/>
      <c r="N118" s="18">
        <f>IF(N$21&lt;710,21.1,N119)</f>
        <v>21.1</v>
      </c>
      <c r="O118" s="18">
        <f>IF(O$21&lt;710,21.1,O119)</f>
        <v>21.1</v>
      </c>
      <c r="P118" s="18">
        <f>IF(P$21&lt;710,21.1,P119)</f>
        <v>21.1</v>
      </c>
      <c r="AU118" s="1" t="s">
        <v>149</v>
      </c>
      <c r="BK118" s="1" t="s">
        <v>586</v>
      </c>
      <c r="BL118" s="4"/>
    </row>
    <row r="119" spans="10:64" ht="12">
      <c r="J119" s="4"/>
      <c r="N119" s="18">
        <f>IF(N$21&lt;810,21.6,N120)</f>
        <v>21.6</v>
      </c>
      <c r="O119" s="18">
        <f>IF(O$21&lt;810,21.6,O120)</f>
        <v>21.6</v>
      </c>
      <c r="P119" s="18">
        <f>IF(P$21&lt;810,21.6,P120)</f>
        <v>21.6</v>
      </c>
      <c r="S119" s="8" t="s">
        <v>85</v>
      </c>
      <c r="T119" s="8" t="s">
        <v>86</v>
      </c>
      <c r="U119" s="8" t="s">
        <v>87</v>
      </c>
      <c r="V119" s="8" t="s">
        <v>88</v>
      </c>
      <c r="AU119" s="1" t="s">
        <v>163</v>
      </c>
      <c r="BK119" s="1" t="s">
        <v>591</v>
      </c>
      <c r="BL119" s="4"/>
    </row>
    <row r="120" spans="14:64" ht="12">
      <c r="N120" s="18">
        <f>IF(N$21&lt;910,22.1,N121)</f>
        <v>22.1</v>
      </c>
      <c r="O120" s="18">
        <f>IF(O$21&lt;910,22.1,O121)</f>
        <v>22.1</v>
      </c>
      <c r="P120" s="18">
        <f>IF(P$21&lt;910,22.1,P121)</f>
        <v>22.1</v>
      </c>
      <c r="AU120" s="1" t="s">
        <v>176</v>
      </c>
      <c r="BK120" s="1" t="s">
        <v>567</v>
      </c>
      <c r="BL120" s="4"/>
    </row>
    <row r="121" spans="14:64" ht="12">
      <c r="N121" s="18">
        <f>IF(N$21&lt;1000,22.8,N122)</f>
        <v>22.8</v>
      </c>
      <c r="O121" s="18">
        <f>IF(O$21&lt;1000,22.8,O122)</f>
        <v>22.8</v>
      </c>
      <c r="P121" s="18">
        <f>IF(P$21&lt;1000,22.8,P122)</f>
        <v>22.8</v>
      </c>
      <c r="R121" s="1" t="s">
        <v>649</v>
      </c>
      <c r="AU121" s="1" t="s">
        <v>189</v>
      </c>
      <c r="BK121" s="1" t="s">
        <v>575</v>
      </c>
      <c r="BL121" s="4"/>
    </row>
    <row r="122" spans="47:64" ht="12">
      <c r="AU122" s="1" t="s">
        <v>202</v>
      </c>
      <c r="BK122" s="1" t="s">
        <v>581</v>
      </c>
      <c r="BL122" s="4"/>
    </row>
    <row r="123" spans="18:64" ht="12">
      <c r="R123" s="1" t="s">
        <v>650</v>
      </c>
      <c r="S123" s="13">
        <f>IF(AND((U33+U37/2)&gt;0,(U33+U37/2)&lt;1201),1.8*(U33+U37/2),S124)</f>
        <v>5750</v>
      </c>
      <c r="T123" s="13">
        <f>IF(AND((V33+V37/2)&gt;0,(V33+V37/2)&lt;1201),1.8*(V33+V37/2),T124)</f>
        <v>0</v>
      </c>
      <c r="U123" s="13">
        <f>IF(AND((W33+W37/2)&gt;0,(W33+W37/2)&lt;1201),1.8*(W33+W37/2),U124)</f>
        <v>0</v>
      </c>
      <c r="V123" s="13">
        <f>IF(AND((X33+X37/2)&gt;0,(X33+X37/2)&lt;1201),1.8*(X33+X37/2),V124)</f>
        <v>0</v>
      </c>
      <c r="AU123" s="1" t="s">
        <v>651</v>
      </c>
      <c r="BK123" s="1" t="s">
        <v>587</v>
      </c>
      <c r="BL123" s="4"/>
    </row>
    <row r="124" spans="18:64" ht="12">
      <c r="R124" s="1" t="s">
        <v>209</v>
      </c>
      <c r="S124" s="13">
        <f>IF(AND((U33+U37/2)&gt;1200,(U33+U37/2)&lt;2401),2*(U33+U37/2),S125)</f>
        <v>5750</v>
      </c>
      <c r="T124" s="13">
        <f>IF(AND((V33+V37/2)&gt;1200,(V33+V37/2)&lt;2401),2*(V33+V37/2),T125)</f>
        <v>0</v>
      </c>
      <c r="U124" s="13">
        <f>IF(AND((W33+W37/2)&gt;1200,(W33+W37/2)&lt;2401),2*(W33+W37/2),U125)</f>
        <v>0</v>
      </c>
      <c r="V124" s="13">
        <f>IF(AND((X33+X37/2)&gt;1200,(X33+X37/2)&lt;2401),2*(X33+X37/2),V125)</f>
        <v>0</v>
      </c>
      <c r="AU124" s="1" t="s">
        <v>225</v>
      </c>
      <c r="BK124" s="1" t="s">
        <v>592</v>
      </c>
      <c r="BL124" s="4"/>
    </row>
    <row r="125" spans="14:64" ht="12">
      <c r="N125" s="4"/>
      <c r="O125" s="4"/>
      <c r="P125" s="4"/>
      <c r="R125" s="1" t="s">
        <v>429</v>
      </c>
      <c r="S125" s="13">
        <f>IF(AND((U33+U37/2)&gt;2400,(U33+U37/2)&lt;4801),2.3*(U33+U37/2),S126)</f>
        <v>5750</v>
      </c>
      <c r="T125" s="13">
        <f>IF(AND((V33+V37/2)&gt;2400,(V33+V37/2)&lt;4801),2.3*(V33+V37/2),T126)</f>
        <v>0</v>
      </c>
      <c r="U125" s="13">
        <f>IF(AND((W33+W37/2)&gt;2400,(W33+W37/2)&lt;4801),2.3*(W33+W37/2),U126)</f>
        <v>0</v>
      </c>
      <c r="V125" s="13">
        <f>IF(AND((X33+X37/2)&gt;2400,(X33+X37/2)&lt;4801),2.3*(X33+X37/2),V126)</f>
        <v>0</v>
      </c>
      <c r="AU125" s="1" t="s">
        <v>238</v>
      </c>
      <c r="BK125" s="1" t="s">
        <v>595</v>
      </c>
      <c r="BL125" s="4"/>
    </row>
    <row r="126" spans="14:64" ht="12">
      <c r="N126" s="4"/>
      <c r="O126" s="4"/>
      <c r="P126" s="4"/>
      <c r="S126" s="13">
        <f>IF(AND((U33+U37/2)&gt;4800,(U33+U37/2)&lt;9601),2.8*(U33+U37/2),S127)</f>
        <v>11250</v>
      </c>
      <c r="T126" s="13">
        <f>IF(AND((V33+V37/2)&gt;4800,(V33+V37/2)&lt;9601),2.8*(V33+V37/2),T127)</f>
        <v>0</v>
      </c>
      <c r="U126" s="13">
        <f>IF(AND((W33+W37/2)&gt;4800,(W33+W37/2)&lt;9601),2.8*(W33+W37/2),U127)</f>
        <v>0</v>
      </c>
      <c r="V126" s="13">
        <f>IF(AND((X33+X37/2)&gt;4800,(X33+X37/2)&lt;9601),2.8*(X33+X37/2),V127)</f>
        <v>0</v>
      </c>
      <c r="AU126" s="1" t="s">
        <v>248</v>
      </c>
      <c r="BK126" s="1" t="s">
        <v>601</v>
      </c>
      <c r="BL126" s="4"/>
    </row>
    <row r="127" spans="14:64" ht="12">
      <c r="N127" s="4"/>
      <c r="O127" s="4"/>
      <c r="P127" s="4"/>
      <c r="S127" s="13">
        <f>IF(AND((U33+U37/2)&gt;9600,(U33+U37/2)&lt;19201),3.8*(U33+U37/2),S128)</f>
        <v>11250</v>
      </c>
      <c r="T127" s="13">
        <f>IF(AND((V33+V37/2)&gt;9600,(V33+V37/2)&lt;19201),3.8*(V33+V37/2),T128)</f>
        <v>0</v>
      </c>
      <c r="U127" s="13">
        <f>IF(AND((W33+W37/2)&gt;9600,(W33+W37/2)&lt;19201),3.8*(W33+W37/2),U128)</f>
        <v>0</v>
      </c>
      <c r="V127" s="13">
        <f>IF(AND((X33+X37/2)&gt;9600,(X33+X37/2)&lt;19201),3.8*(X33+X37/2),V128)</f>
        <v>0</v>
      </c>
      <c r="Y127" s="4"/>
      <c r="Z127" s="4"/>
      <c r="AA127" s="4"/>
      <c r="AB127" s="4"/>
      <c r="AC127" s="4"/>
      <c r="AD127" s="4"/>
      <c r="AE127" s="4"/>
      <c r="AF127" s="4"/>
      <c r="AU127" s="1" t="s">
        <v>258</v>
      </c>
      <c r="BK127" s="1" t="s">
        <v>604</v>
      </c>
      <c r="BL127" s="4"/>
    </row>
    <row r="128" spans="14:64" ht="12">
      <c r="N128" s="4"/>
      <c r="O128" s="4"/>
      <c r="P128" s="4"/>
      <c r="S128" s="13">
        <f>4.5*(U33+U37/2)</f>
        <v>11250</v>
      </c>
      <c r="T128" s="13">
        <f>4.5*(V33+V37/2)</f>
        <v>0</v>
      </c>
      <c r="U128" s="13">
        <f>4.5*(W33+W37/2)</f>
        <v>0</v>
      </c>
      <c r="V128" s="13">
        <f>4.5*(X33+X37/2)</f>
        <v>0</v>
      </c>
      <c r="Y128" s="4"/>
      <c r="Z128" s="4"/>
      <c r="AA128" s="4"/>
      <c r="AB128" s="4"/>
      <c r="AC128" s="4"/>
      <c r="AD128" s="4"/>
      <c r="AE128" s="4"/>
      <c r="AF128" s="4"/>
      <c r="AU128" s="1" t="s">
        <v>268</v>
      </c>
      <c r="BK128" s="1" t="s">
        <v>608</v>
      </c>
      <c r="BL128" s="4"/>
    </row>
    <row r="129" spans="14:64" ht="12">
      <c r="N129" s="4"/>
      <c r="O129" s="4"/>
      <c r="P129" s="4"/>
      <c r="Y129" s="4"/>
      <c r="Z129" s="4"/>
      <c r="AA129" s="4"/>
      <c r="AB129" s="4"/>
      <c r="AC129" s="4"/>
      <c r="AD129" s="4"/>
      <c r="AE129" s="4"/>
      <c r="AF129" s="4"/>
      <c r="AU129" s="1" t="s">
        <v>281</v>
      </c>
      <c r="BK129" s="1" t="s">
        <v>611</v>
      </c>
      <c r="BL129" s="4"/>
    </row>
    <row r="130" spans="14:64" ht="12">
      <c r="N130" s="4"/>
      <c r="O130" s="4"/>
      <c r="P130" s="4"/>
      <c r="R130" s="1" t="s">
        <v>650</v>
      </c>
      <c r="S130" s="13">
        <f>IF(AND((U34+U37/2)&gt;0,(U34+U37/2)&lt;1201),1.8*(U34+U37/2),S131)</f>
        <v>6609.47672611633</v>
      </c>
      <c r="T130" s="13">
        <f>IF(AND((V34+V37/2)&gt;0,(V34+V37/2)&lt;1201),1.8*(V34+V37/2),T131)</f>
        <v>0</v>
      </c>
      <c r="U130" s="13">
        <f>IF(AND((W34+W37/2)&gt;0,(W34+W37/2)&lt;1201),1.8*(W34+W37/2),U131)</f>
        <v>0</v>
      </c>
      <c r="V130" s="13">
        <f>IF(AND((X34+X37/2)&gt;0,(X34+X37/2)&lt;1201),1.8*(X34+X37/2),V131)</f>
        <v>0</v>
      </c>
      <c r="Y130" s="4"/>
      <c r="Z130" s="4"/>
      <c r="AA130" s="4"/>
      <c r="AB130" s="4"/>
      <c r="AC130" s="4"/>
      <c r="AD130" s="4"/>
      <c r="AE130" s="4"/>
      <c r="AF130" s="4"/>
      <c r="AU130" s="1" t="s">
        <v>602</v>
      </c>
      <c r="BK130" s="1" t="s">
        <v>568</v>
      </c>
      <c r="BL130" s="4"/>
    </row>
    <row r="131" spans="14:64" ht="12">
      <c r="N131" s="4"/>
      <c r="O131" s="4"/>
      <c r="P131" s="4"/>
      <c r="R131" s="1" t="s">
        <v>209</v>
      </c>
      <c r="S131" s="13">
        <f>IF(AND((U34+U37/2)&gt;1200,(U34+U37/2)&lt;2401),2*(U34+U37/2),S132)</f>
        <v>6609.47672611633</v>
      </c>
      <c r="T131" s="13">
        <f>IF(AND((V34+V37/2)&gt;1200,(V34+V37/2)&lt;2401),2*(V34+V37/2),T132)</f>
        <v>0</v>
      </c>
      <c r="U131" s="13">
        <f>IF(AND((W34+W37/2)&gt;1200,(W34+W37/2)&lt;2401),2*(W34+W37/2),U132)</f>
        <v>0</v>
      </c>
      <c r="V131" s="13">
        <f>IF(AND((X34+X37/2)&gt;1200,(X34+X37/2)&lt;2401),2*(X34+X37/2),V132)</f>
        <v>0</v>
      </c>
      <c r="Y131" s="4"/>
      <c r="Z131" s="4"/>
      <c r="AA131" s="4"/>
      <c r="AB131" s="4"/>
      <c r="AC131" s="4"/>
      <c r="AD131" s="4"/>
      <c r="AE131" s="4"/>
      <c r="AF131" s="4"/>
      <c r="AU131" s="1" t="s">
        <v>299</v>
      </c>
      <c r="BK131" s="1" t="s">
        <v>76</v>
      </c>
      <c r="BL131" s="4"/>
    </row>
    <row r="132" spans="14:64" ht="12">
      <c r="N132" s="4"/>
      <c r="O132" s="4"/>
      <c r="P132" s="4"/>
      <c r="R132" s="1" t="s">
        <v>435</v>
      </c>
      <c r="S132" s="13">
        <f>IF(AND((U34+U37/2)&gt;2400,(U34+U37/2)&lt;4801),2.3*(U34+U37/2),S133)</f>
        <v>6609.47672611633</v>
      </c>
      <c r="T132" s="13">
        <f>IF(AND((V34+V37/2)&gt;2400,(V34+V37/2)&lt;4801),2.3*(V34+V37/2),T133)</f>
        <v>0</v>
      </c>
      <c r="U132" s="13">
        <f>IF(AND((W34+W37/2)&gt;2400,(W34+W37/2)&lt;4801),2.3*(W34+W37/2),U133)</f>
        <v>0</v>
      </c>
      <c r="V132" s="13">
        <f>IF(AND((X34+X37/2)&gt;2400,(X34+X37/2)&lt;4801),2.3*(X34+X37/2),V133)</f>
        <v>0</v>
      </c>
      <c r="Y132" s="4"/>
      <c r="Z132" s="4"/>
      <c r="AA132" s="4"/>
      <c r="AB132" s="4"/>
      <c r="AC132" s="4"/>
      <c r="AD132" s="4"/>
      <c r="AE132" s="4"/>
      <c r="AF132" s="4"/>
      <c r="AU132" s="1" t="s">
        <v>303</v>
      </c>
      <c r="BK132" s="1" t="s">
        <v>576</v>
      </c>
      <c r="BL132" s="4"/>
    </row>
    <row r="133" spans="19:64" ht="12">
      <c r="S133" s="13">
        <f>IF(AND((U34+U37/2)&gt;4800,(U34+U37/2)&lt;9601),2.8*(U34+U37/2),S134)</f>
        <v>12931.584898923255</v>
      </c>
      <c r="T133" s="13">
        <f>IF(AND((V34+V37/2)&gt;4800,(V34+V37/2)&lt;9601),2.8*(V34+V37/2),T134)</f>
        <v>0</v>
      </c>
      <c r="U133" s="13">
        <f>IF(AND((W34+W37/2)&gt;4800,(W34+W37/2)&lt;9601),2.8*(W34+W37/2),U134)</f>
        <v>0</v>
      </c>
      <c r="V133" s="13">
        <f>IF(AND((X34+X37/2)&gt;4800,(X34+X37/2)&lt;9601),2.8*(X34+X37/2),V134)</f>
        <v>0</v>
      </c>
      <c r="Y133" s="4"/>
      <c r="Z133" s="4"/>
      <c r="AA133" s="4"/>
      <c r="AB133" s="4"/>
      <c r="AC133" s="26" t="s">
        <v>652</v>
      </c>
      <c r="AD133" s="23"/>
      <c r="AE133" s="23"/>
      <c r="AF133" s="4"/>
      <c r="AU133" s="1" t="s">
        <v>310</v>
      </c>
      <c r="BL133" s="4"/>
    </row>
    <row r="134" spans="19:64" ht="12">
      <c r="S134" s="13">
        <f>IF(AND((U34+U37/2)&gt;9600,(U34+U37/2)&lt;19201),3.8*(U34+U37/2),S135)</f>
        <v>12931.584898923255</v>
      </c>
      <c r="T134" s="13">
        <f>IF(AND((V34+V37/2)&gt;9600,(V34+V37/2)&lt;19201),3.8*(V34+V37/2),T135)</f>
        <v>0</v>
      </c>
      <c r="U134" s="13">
        <f>IF(AND((W34+W37/2)&gt;9600,(W34+W37/2)&lt;19201),3.8*(W34+W37/2),U135)</f>
        <v>0</v>
      </c>
      <c r="V134" s="13">
        <f>IF(AND((X34+X37/2)&gt;9600,(X34+X37/2)&lt;19201),3.8*(X34+X37/2),V135)</f>
        <v>0</v>
      </c>
      <c r="Y134" s="4"/>
      <c r="Z134" s="4"/>
      <c r="AA134" s="4"/>
      <c r="AB134" s="4"/>
      <c r="AC134" s="4"/>
      <c r="AD134" s="4"/>
      <c r="AE134" s="4"/>
      <c r="AF134" s="4"/>
      <c r="AU134" s="1" t="s">
        <v>653</v>
      </c>
      <c r="BL134" s="4"/>
    </row>
    <row r="135" spans="19:32" ht="12">
      <c r="S135" s="13">
        <f>4.5*(U34+U37/2)</f>
        <v>12931.584898923255</v>
      </c>
      <c r="T135" s="13">
        <f>4.5*(V34+V37/2)</f>
        <v>0</v>
      </c>
      <c r="U135" s="13">
        <f>4.5*(W34+W37/2)</f>
        <v>0</v>
      </c>
      <c r="V135" s="13">
        <f>4.5*(X34+X37/2)</f>
        <v>0</v>
      </c>
      <c r="Y135" s="4"/>
      <c r="Z135" s="4"/>
      <c r="AA135" s="4"/>
      <c r="AB135" s="4"/>
      <c r="AC135" s="4"/>
      <c r="AD135" s="4"/>
      <c r="AE135" s="4"/>
      <c r="AF135" s="4"/>
    </row>
    <row r="136" spans="25:32" ht="12">
      <c r="Y136" s="4"/>
      <c r="Z136" s="4"/>
      <c r="AA136" s="4"/>
      <c r="AB136" s="4"/>
      <c r="AC136" s="4"/>
      <c r="AD136" s="4"/>
      <c r="AE136" s="4"/>
      <c r="AF136" s="4"/>
    </row>
    <row r="137" spans="18:32" ht="12">
      <c r="R137" s="1" t="s">
        <v>654</v>
      </c>
      <c r="S137" s="13">
        <f>IF(AND((U35+U37/2)&gt;0,(U35+U37/2)&lt;1201),1.8*(U35+U37/2),S138)</f>
        <v>0</v>
      </c>
      <c r="T137" s="13">
        <f>IF(AND((V35+V37/2)&gt;0,(V35+V37/2)&lt;1201),1.8*(V35+V37/2),T138)</f>
        <v>0</v>
      </c>
      <c r="U137" s="13">
        <f>IF(AND((W35+W37/2)&gt;0,(W35+W37/2)&lt;1201),1.8*(W35+W37/2),U138)</f>
        <v>0</v>
      </c>
      <c r="V137" s="13">
        <f>IF(AND((X35+X37/2)&gt;0,(X35+X37/2)&lt;1201),1.8*(X35+X37/2),V138)</f>
        <v>0</v>
      </c>
      <c r="Y137" s="4"/>
      <c r="Z137" s="4"/>
      <c r="AA137" s="4"/>
      <c r="AB137" s="4"/>
      <c r="AC137" s="23"/>
      <c r="AD137" s="23"/>
      <c r="AE137" s="23"/>
      <c r="AF137" s="4"/>
    </row>
    <row r="138" spans="19:32" ht="12">
      <c r="S138" s="13">
        <f>IF(AND((U35+U37/2)&gt;1200,(U35+U37/2)&lt;2401),2*(U35+U37/2),S139)</f>
        <v>0</v>
      </c>
      <c r="T138" s="13">
        <f>IF(AND((V35+V37/2)&gt;1200,(V35+V37/2)&lt;2401),2*(V35+V37/2),T139)</f>
        <v>0</v>
      </c>
      <c r="U138" s="13">
        <f>IF(AND((W35+W37/2)&gt;1200,(W35+W37/2)&lt;2401),2*(W35+W37/2),U139)</f>
        <v>0</v>
      </c>
      <c r="V138" s="13">
        <f>IF(AND((X35+X37/2)&gt;1200,(X35+X37/2)&lt;2401),2*(X35+X37/2),V139)</f>
        <v>0</v>
      </c>
      <c r="Y138" s="4"/>
      <c r="Z138" s="4"/>
      <c r="AA138" s="4"/>
      <c r="AB138" s="3" t="s">
        <v>467</v>
      </c>
      <c r="AC138" s="23"/>
      <c r="AD138" s="23"/>
      <c r="AE138" s="23"/>
      <c r="AF138" s="4"/>
    </row>
    <row r="139" spans="18:32" ht="12">
      <c r="R139" s="1" t="s">
        <v>429</v>
      </c>
      <c r="S139" s="13">
        <f>IF(AND((U35+U37/2)&gt;2400,(U35+U37/2)&lt;4801),2.3*(U35+U37/2),S140)</f>
        <v>0</v>
      </c>
      <c r="T139" s="13">
        <f>IF(AND((V35+V37/2)&gt;2400,(V35+V37/2)&lt;4801),2.3*(V35+V37/2),T140)</f>
        <v>0</v>
      </c>
      <c r="U139" s="13">
        <f>IF(AND((W35+W37/2)&gt;2400,(W35+W37/2)&lt;4801),2.3*(W35+W37/2),U140)</f>
        <v>0</v>
      </c>
      <c r="V139" s="13">
        <f>IF(AND((X35+X37/2)&gt;2400,(X35+X37/2)&lt;4801),2.3*(X35+X37/2),V140)</f>
        <v>0</v>
      </c>
      <c r="Y139" s="4"/>
      <c r="Z139" s="4"/>
      <c r="AA139" s="4"/>
      <c r="AB139" s="27" t="s">
        <v>352</v>
      </c>
      <c r="AC139" s="28" t="s">
        <v>353</v>
      </c>
      <c r="AD139" s="28" t="s">
        <v>354</v>
      </c>
      <c r="AE139" s="23"/>
      <c r="AF139" s="4"/>
    </row>
    <row r="140" spans="19:32" ht="12">
      <c r="S140" s="13">
        <f>IF(AND((U35+U37/2)&gt;4800,(U35+U37/2)&lt;9601),2.8*(U35+U37/2),S141)</f>
        <v>0</v>
      </c>
      <c r="T140" s="13">
        <f>IF(AND((V35+V37/2)&gt;4800,(V35+V37/2)&lt;9601),2.8*(V35+V37/2),T141)</f>
        <v>0</v>
      </c>
      <c r="U140" s="13">
        <f>IF(AND((W35+W37/2)&gt;4800,(W35+W37/2)&lt;9601),2.8*(W35+W37/2),U141)</f>
        <v>0</v>
      </c>
      <c r="V140" s="13">
        <f>IF(AND((X35+X37/2)&gt;4800,(X35+X37/2)&lt;9601),2.8*(X35+X37/2),V141)</f>
        <v>0</v>
      </c>
      <c r="Y140" s="4"/>
      <c r="Z140" s="4"/>
      <c r="AA140" s="4"/>
      <c r="AB140" s="4"/>
      <c r="AC140" s="23"/>
      <c r="AD140" s="23"/>
      <c r="AE140" s="23"/>
      <c r="AF140" s="4"/>
    </row>
    <row r="141" spans="19:32" ht="12">
      <c r="S141" s="13">
        <f>IF(AND((U35+U37/2)&gt;9600,(U35+U37/2)&lt;19201),3.8*(U35+U37/2),S142)</f>
        <v>0</v>
      </c>
      <c r="T141" s="13">
        <f>IF(AND((V35+V37/2)&gt;9600,(V35+V37/2)&lt;19201),3.8*(V35+V37/2),T142)</f>
        <v>0</v>
      </c>
      <c r="U141" s="13">
        <f>IF(AND((W35+W37/2)&gt;9600,(W35+W37/2)&lt;19201),3.8*(W35+W37/2),U142)</f>
        <v>0</v>
      </c>
      <c r="V141" s="13">
        <f>IF(AND((X35+X37/2)&gt;9600,(X35+X37/2)&lt;19201),3.8*(X35+X37/2),V142)</f>
        <v>0</v>
      </c>
      <c r="Y141" s="3" t="s">
        <v>476</v>
      </c>
      <c r="Z141" s="4"/>
      <c r="AA141" s="4"/>
      <c r="AB141" s="4"/>
      <c r="AC141" s="23"/>
      <c r="AD141" s="23"/>
      <c r="AE141" s="23"/>
      <c r="AF141" s="4"/>
    </row>
    <row r="142" spans="19:32" ht="12">
      <c r="S142" s="13">
        <f>4.5*(U35+U37/2)</f>
        <v>0</v>
      </c>
      <c r="T142" s="13">
        <f>4.5*(V35+V37/2)</f>
        <v>0</v>
      </c>
      <c r="U142" s="13">
        <f>4.5*(W35+W37/2)</f>
        <v>0</v>
      </c>
      <c r="V142" s="13">
        <f>4.5*(X35+X37/2)</f>
        <v>0</v>
      </c>
      <c r="Y142" s="4"/>
      <c r="Z142" s="4"/>
      <c r="AA142" s="4"/>
      <c r="AB142" s="4"/>
      <c r="AC142" s="4"/>
      <c r="AD142" s="4"/>
      <c r="AE142" s="4"/>
      <c r="AF142" s="4"/>
    </row>
    <row r="143" spans="19:32" ht="12">
      <c r="S143" s="13"/>
      <c r="T143" s="13"/>
      <c r="U143" s="13"/>
      <c r="V143" s="13"/>
      <c r="Y143" s="4"/>
      <c r="Z143" s="4"/>
      <c r="AA143" s="4"/>
      <c r="AB143" s="4"/>
      <c r="AC143" s="4"/>
      <c r="AD143" s="4"/>
      <c r="AE143" s="4"/>
      <c r="AF143" s="4"/>
    </row>
    <row r="144" spans="18:32" ht="12">
      <c r="R144" s="1" t="s">
        <v>654</v>
      </c>
      <c r="S144" s="13">
        <f>IF(AND((U36+U37/2)&gt;0,(U36+U37/2)&lt;1201),1.8*(U36+U37/2),S145)</f>
        <v>0</v>
      </c>
      <c r="T144" s="13">
        <f>IF(AND((V36+V37/2)&gt;0,(V36+V37/2)&lt;1201),1.8*(V36+V37/2),T145)</f>
        <v>0</v>
      </c>
      <c r="U144" s="13">
        <f>IF(AND((W36+W37/2)&gt;0,(W36+W37/2)&lt;1201),1.8*(W36+W37/2),U145)</f>
        <v>0</v>
      </c>
      <c r="V144" s="13">
        <f>IF(AND((X36+X37/2)&gt;0,(X36+X37/2)&lt;1201),1.8*(X36+X37/2),V145)</f>
        <v>0</v>
      </c>
      <c r="Y144" s="4"/>
      <c r="Z144" s="4"/>
      <c r="AA144" s="4"/>
      <c r="AB144" s="4"/>
      <c r="AC144" s="4"/>
      <c r="AD144" s="4"/>
      <c r="AE144" s="4"/>
      <c r="AF144" s="4"/>
    </row>
    <row r="145" spans="19:32" ht="12">
      <c r="S145" s="13">
        <f>IF(AND((U36+U37/2)&gt;1200,(U36+U37/2)&lt;2401),2*(U36+U37/2),S146)</f>
        <v>0</v>
      </c>
      <c r="T145" s="13">
        <f>IF(AND((V36+V37/2)&gt;1200,(V36+V37/2)&lt;2401),2*(V36+V37/2),T146)</f>
        <v>0</v>
      </c>
      <c r="U145" s="13">
        <f>IF(AND((W36+W37/2)&gt;1200,(W36+W37/2)&lt;2401),2*(W36+W37/2),U146)</f>
        <v>0</v>
      </c>
      <c r="V145" s="13">
        <f>IF(AND((X36+X37/2)&gt;1200,(X36+X37/2)&lt;2401),2*(X36+X37/2),V146)</f>
        <v>0</v>
      </c>
      <c r="Y145" s="4"/>
      <c r="Z145" s="4"/>
      <c r="AA145" s="4"/>
      <c r="AB145" s="4"/>
      <c r="AC145" s="4"/>
      <c r="AD145" s="4"/>
      <c r="AE145" s="4"/>
      <c r="AF145" s="4"/>
    </row>
    <row r="146" spans="18:32" ht="12">
      <c r="R146" s="1" t="s">
        <v>435</v>
      </c>
      <c r="S146" s="13">
        <f>IF(AND((U36+U37/2)&gt;2400,(U36+U37/2)&lt;4801),2.3*(U36+U37/2),S147)</f>
        <v>0</v>
      </c>
      <c r="T146" s="13">
        <f>IF(AND((V36+V37/2)&gt;2400,(V36+V37/2)&lt;4801),2.3*(V36+V37/2),T147)</f>
        <v>0</v>
      </c>
      <c r="U146" s="13">
        <f>IF(AND((W36+W37/2)&gt;2400,(W36+W37/2)&lt;4801),2.3*(W36+W37/2),U147)</f>
        <v>0</v>
      </c>
      <c r="V146" s="13">
        <f>IF(AND((X36+X37/2)&gt;2400,(X36+X37/2)&lt;4801),2.3*(X36+X37/2),V147)</f>
        <v>0</v>
      </c>
      <c r="Y146" s="4"/>
      <c r="Z146" s="4"/>
      <c r="AA146" s="4"/>
      <c r="AB146" s="4"/>
      <c r="AC146" s="4"/>
      <c r="AD146" s="4"/>
      <c r="AE146" s="4"/>
      <c r="AF146" s="4"/>
    </row>
    <row r="147" spans="19:32" ht="12">
      <c r="S147" s="13">
        <f>IF(AND((U36+U37/2)&gt;4800,(U36+U37/2)&lt;9601),2.8*(U36+U37/2),S148)</f>
        <v>0</v>
      </c>
      <c r="T147" s="13">
        <f>IF(AND((V36+V37/2)&gt;4800,(V36+V37/2)&lt;9601),2.8*(V36+V37/2),T148)</f>
        <v>0</v>
      </c>
      <c r="U147" s="13">
        <f>IF(AND((W36+W37/2)&gt;4800,(W36+W37/2)&lt;9601),2.8*(W36+W37/2),U148)</f>
        <v>0</v>
      </c>
      <c r="V147" s="13">
        <f>IF(AND((X36+X37/2)&gt;4800,(X36+X37/2)&lt;9601),2.8*(X36+X37/2),V148)</f>
        <v>0</v>
      </c>
      <c r="Y147" s="4"/>
      <c r="Z147" s="4"/>
      <c r="AA147" s="4"/>
      <c r="AB147" s="4"/>
      <c r="AC147" s="4"/>
      <c r="AD147" s="4"/>
      <c r="AE147" s="4"/>
      <c r="AF147" s="4"/>
    </row>
    <row r="148" spans="19:32" ht="12">
      <c r="S148" s="13">
        <f>IF(AND((U36+U37/2)&gt;9600,(U36+U37/2)&lt;19201),3.8*(U36+U37/2),S149)</f>
        <v>0</v>
      </c>
      <c r="T148" s="13">
        <f>IF(AND((V36+V37/2)&gt;9600,(V36+V37/2)&lt;19201),3.8*(V36+V37/2),T149)</f>
        <v>0</v>
      </c>
      <c r="U148" s="13">
        <f>IF(AND((W36+W37/2)&gt;9600,(W36+W37/2)&lt;19201),3.8*(W36+W37/2),U149)</f>
        <v>0</v>
      </c>
      <c r="V148" s="13">
        <f>IF(AND((X36+X37/2)&gt;9600,(X36+X37/2)&lt;19201),3.8*(X36+X37/2),V149)</f>
        <v>0</v>
      </c>
      <c r="Y148" s="4"/>
      <c r="Z148" s="4"/>
      <c r="AA148" s="4"/>
      <c r="AB148" s="4"/>
      <c r="AC148" s="4"/>
      <c r="AD148" s="4"/>
      <c r="AE148" s="4"/>
      <c r="AF148" s="4"/>
    </row>
    <row r="149" spans="19:32" ht="12">
      <c r="S149" s="13">
        <f>4.5*(U36+U37/2)</f>
        <v>0</v>
      </c>
      <c r="T149" s="13">
        <f>4.5*(V36+V37/2)</f>
        <v>0</v>
      </c>
      <c r="U149" s="13">
        <f>4.5*(W36+W37/2)</f>
        <v>0</v>
      </c>
      <c r="V149" s="13">
        <f>4.5*(X36+X37/2)</f>
        <v>0</v>
      </c>
      <c r="Y149" s="4"/>
      <c r="Z149" s="4"/>
      <c r="AA149" s="4"/>
      <c r="AB149" s="4"/>
      <c r="AC149" s="4"/>
      <c r="AD149" s="4"/>
      <c r="AE149" s="4"/>
      <c r="AF149" s="4"/>
    </row>
    <row r="150" spans="18:32" ht="12">
      <c r="R150" s="1" t="s">
        <v>655</v>
      </c>
      <c r="Y150" s="4"/>
      <c r="Z150" s="4"/>
      <c r="AA150" s="4"/>
      <c r="AB150" s="4"/>
      <c r="AC150" s="4"/>
      <c r="AD150" s="4"/>
      <c r="AE150" s="4"/>
      <c r="AF150" s="4"/>
    </row>
    <row r="151" spans="18:32" ht="12">
      <c r="R151" s="1" t="s">
        <v>650</v>
      </c>
      <c r="S151" s="18">
        <f>U17^(1/2)</f>
        <v>0</v>
      </c>
      <c r="T151" s="18">
        <f>V17^(1/2)</f>
        <v>0</v>
      </c>
      <c r="U151" s="18">
        <f>W17^(1/2)</f>
        <v>0</v>
      </c>
      <c r="V151" s="18">
        <f>X17^(1/2)</f>
        <v>0</v>
      </c>
      <c r="Y151" s="4"/>
      <c r="Z151" s="4"/>
      <c r="AA151" s="4"/>
      <c r="AB151" s="4"/>
      <c r="AC151" s="4"/>
      <c r="AD151" s="4"/>
      <c r="AE151" s="4"/>
      <c r="AF151" s="4"/>
    </row>
    <row r="152" spans="17:32" ht="12">
      <c r="Q152" s="1" t="s">
        <v>209</v>
      </c>
      <c r="Y152" s="4"/>
      <c r="Z152" s="4"/>
      <c r="AA152" s="4"/>
      <c r="AB152" s="4"/>
      <c r="AC152" s="4"/>
      <c r="AD152" s="4"/>
      <c r="AE152" s="4"/>
      <c r="AF152" s="4"/>
    </row>
    <row r="153" spans="25:32" ht="12">
      <c r="Y153" s="4"/>
      <c r="Z153" s="4"/>
      <c r="AA153" s="4"/>
      <c r="AB153" s="4"/>
      <c r="AC153" s="4"/>
      <c r="AD153" s="4"/>
      <c r="AE153" s="4"/>
      <c r="AF153" s="4"/>
    </row>
    <row r="154" spans="18:32" ht="12">
      <c r="R154" s="1" t="s">
        <v>656</v>
      </c>
      <c r="Y154" s="4"/>
      <c r="Z154" s="4"/>
      <c r="AA154" s="4"/>
      <c r="AB154" s="4"/>
      <c r="AC154" s="4"/>
      <c r="AD154" s="4"/>
      <c r="AE154" s="4"/>
      <c r="AF154" s="4"/>
    </row>
    <row r="155" spans="25:32" ht="12">
      <c r="Y155" s="4"/>
      <c r="Z155" s="4"/>
      <c r="AA155" s="4"/>
      <c r="AB155" s="4"/>
      <c r="AC155" s="4"/>
      <c r="AD155" s="4"/>
      <c r="AE155" s="4"/>
      <c r="AF155" s="4"/>
    </row>
    <row r="156" spans="18:32" ht="12">
      <c r="R156" s="1" t="s">
        <v>657</v>
      </c>
      <c r="T156" s="13">
        <f>114.5-(15*LOG(U13))</f>
        <v>79.21726222832956</v>
      </c>
      <c r="U156" s="13" t="e">
        <f>114.5-(15*LOG(V13))</f>
        <v>#NUM!</v>
      </c>
      <c r="V156" s="13" t="e">
        <f>114.5-(15*LOG(W13))</f>
        <v>#NUM!</v>
      </c>
      <c r="W156" s="13" t="e">
        <f>114.5-(15*LOG(X13))</f>
        <v>#NUM!</v>
      </c>
      <c r="Y156" s="4"/>
      <c r="Z156" s="4"/>
      <c r="AA156" s="4"/>
      <c r="AB156" s="4"/>
      <c r="AC156" s="4"/>
      <c r="AD156" s="4"/>
      <c r="AE156" s="4"/>
      <c r="AF156" s="4"/>
    </row>
    <row r="157" spans="20:32" ht="12">
      <c r="T157" s="13">
        <f>114.5-(15*LOG(U13))</f>
        <v>79.21726222832956</v>
      </c>
      <c r="U157" s="13" t="e">
        <f>114.5-(15*LOG(V13))</f>
        <v>#NUM!</v>
      </c>
      <c r="V157" s="13" t="e">
        <f>114.5-(15*LOG(W13))</f>
        <v>#NUM!</v>
      </c>
      <c r="W157" s="13" t="e">
        <f>114.5-(15*LOG(X13))</f>
        <v>#NUM!</v>
      </c>
      <c r="Y157" s="4"/>
      <c r="Z157" s="4"/>
      <c r="AA157" s="4"/>
      <c r="AB157" s="4"/>
      <c r="AC157" s="4"/>
      <c r="AD157" s="4"/>
      <c r="AE157" s="4"/>
      <c r="AF157" s="4"/>
    </row>
    <row r="158" spans="18:32" ht="12">
      <c r="R158" s="6" t="s">
        <v>658</v>
      </c>
      <c r="S158" s="1" t="s">
        <v>659</v>
      </c>
      <c r="T158" s="13">
        <f>87.5+(20*LOG(R105))-(15*LOG(U13))</f>
        <v>74.76663238320121</v>
      </c>
      <c r="U158" s="13" t="e">
        <f>87.5+(20*LOG(S105))-(15*LOG(V13))</f>
        <v>#NUM!</v>
      </c>
      <c r="V158" s="13" t="e">
        <f>87.5+(20*LOG(T105))-(15*LOG(W13))</f>
        <v>#NUM!</v>
      </c>
      <c r="W158" s="13" t="e">
        <f>87.5+(20*LOG(U105))-(15*LOG(X13))</f>
        <v>#NUM!</v>
      </c>
      <c r="Y158" s="4"/>
      <c r="Z158" s="4"/>
      <c r="AA158" s="4"/>
      <c r="AB158" s="4"/>
      <c r="AC158" s="4"/>
      <c r="AD158" s="4"/>
      <c r="AE158" s="4"/>
      <c r="AF158" s="4"/>
    </row>
    <row r="159" spans="19:32" ht="12">
      <c r="S159" s="1" t="s">
        <v>660</v>
      </c>
      <c r="T159" s="13">
        <f>87.5+(20*LOG(R106))-(15*LOG(U13))</f>
        <v>74.76663238320121</v>
      </c>
      <c r="U159" s="13" t="e">
        <f>87.5+(20*LOG(S106))-(15*LOG(V13))</f>
        <v>#NUM!</v>
      </c>
      <c r="V159" s="13" t="e">
        <f>87.5+(20*LOG(T106))-(15*LOG(W13))</f>
        <v>#NUM!</v>
      </c>
      <c r="W159" s="13" t="e">
        <f>87.5+(20*LOG(U106))-(15*LOG(X13))</f>
        <v>#NUM!</v>
      </c>
      <c r="Y159" s="4"/>
      <c r="Z159" s="4"/>
      <c r="AA159" s="4"/>
      <c r="AB159" s="4"/>
      <c r="AC159" s="4"/>
      <c r="AD159" s="4"/>
      <c r="AE159" s="4"/>
      <c r="AF159" s="4"/>
    </row>
    <row r="160" spans="25:32" ht="12">
      <c r="Y160" s="4"/>
      <c r="Z160" s="4"/>
      <c r="AA160" s="4"/>
      <c r="AB160" s="4"/>
      <c r="AC160" s="4"/>
      <c r="AD160" s="4"/>
      <c r="AE160" s="4"/>
      <c r="AF160" s="4"/>
    </row>
    <row r="161" spans="25:59" ht="12">
      <c r="Y161" s="4"/>
      <c r="Z161" s="4"/>
      <c r="AA161" s="4"/>
      <c r="AB161" s="4"/>
      <c r="AC161" s="4"/>
      <c r="AD161" s="4"/>
      <c r="AE161" s="4"/>
      <c r="AF161" s="4"/>
      <c r="BE161" s="1" t="s">
        <v>661</v>
      </c>
      <c r="BF161" s="8" t="s">
        <v>635</v>
      </c>
      <c r="BG161" s="1" t="s">
        <v>36</v>
      </c>
    </row>
    <row r="162" spans="17:32" ht="12"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7:64" ht="12"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BE163" s="1" t="s">
        <v>48</v>
      </c>
      <c r="BF163" s="1" t="s">
        <v>49</v>
      </c>
      <c r="BG163" s="1" t="s">
        <v>123</v>
      </c>
      <c r="BH163" s="1" t="s">
        <v>124</v>
      </c>
      <c r="BI163" s="1" t="s">
        <v>52</v>
      </c>
      <c r="BJ163" s="1" t="s">
        <v>51</v>
      </c>
      <c r="BK163" s="1" t="s">
        <v>510</v>
      </c>
      <c r="BL163" s="1" t="s">
        <v>9</v>
      </c>
    </row>
    <row r="164" spans="17:64" ht="12"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BE164" s="1" t="s">
        <v>662</v>
      </c>
      <c r="BF164" s="1" t="s">
        <v>663</v>
      </c>
      <c r="BG164" s="1" t="s">
        <v>664</v>
      </c>
      <c r="BH164" s="1" t="s">
        <v>665</v>
      </c>
      <c r="BI164" s="1" t="s">
        <v>666</v>
      </c>
      <c r="BJ164" s="1" t="s">
        <v>667</v>
      </c>
      <c r="BK164" s="1" t="s">
        <v>668</v>
      </c>
      <c r="BL164" s="1" t="s">
        <v>68</v>
      </c>
    </row>
    <row r="165" spans="17:64" ht="12"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BE165" s="1" t="s">
        <v>669</v>
      </c>
      <c r="BF165" s="1" t="s">
        <v>670</v>
      </c>
      <c r="BG165" s="1" t="s">
        <v>671</v>
      </c>
      <c r="BH165" s="1" t="s">
        <v>672</v>
      </c>
      <c r="BI165" s="1" t="s">
        <v>673</v>
      </c>
      <c r="BJ165" s="1" t="s">
        <v>674</v>
      </c>
      <c r="BK165" s="1" t="s">
        <v>675</v>
      </c>
      <c r="BL165" s="1" t="s">
        <v>676</v>
      </c>
    </row>
    <row r="166" spans="17:63" ht="12"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BK166" s="1" t="s">
        <v>677</v>
      </c>
    </row>
    <row r="167" spans="17:63" ht="12"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BK167" s="1" t="s">
        <v>678</v>
      </c>
    </row>
    <row r="168" spans="17:63" ht="12">
      <c r="Q168" s="4">
        <f>1200*2.35</f>
        <v>2820</v>
      </c>
      <c r="R168" s="4"/>
      <c r="S168" s="4"/>
      <c r="T168" s="4">
        <f>LOG(24.59)</f>
        <v>1.3907585287387172</v>
      </c>
      <c r="U168" s="4">
        <f>LOG(339)</f>
        <v>2.530199698203082</v>
      </c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BK168" s="1" t="s">
        <v>672</v>
      </c>
    </row>
    <row r="169" spans="17:63" ht="12">
      <c r="Q169" s="4">
        <f>LOG(Q168)</f>
        <v>3.450249108319361</v>
      </c>
      <c r="R169" s="4"/>
      <c r="S169" s="4"/>
      <c r="T169" s="4"/>
      <c r="U169" s="4">
        <f>15*U168</f>
        <v>37.95299547304623</v>
      </c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BK169" s="1" t="s">
        <v>673</v>
      </c>
    </row>
    <row r="170" spans="17:63" ht="12">
      <c r="Q170" s="4"/>
      <c r="R170" s="4"/>
      <c r="S170" s="4"/>
      <c r="T170" s="4"/>
      <c r="U170" s="4">
        <f>20*T168-U169</f>
        <v>-10.137824898271887</v>
      </c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BK170" s="1" t="s">
        <v>679</v>
      </c>
    </row>
    <row r="171" spans="25:32" ht="12">
      <c r="Y171" s="4"/>
      <c r="Z171" s="4"/>
      <c r="AA171" s="4"/>
      <c r="AB171" s="4"/>
      <c r="AC171" s="4"/>
      <c r="AD171" s="4"/>
      <c r="AE171" s="4"/>
      <c r="AF171" s="4"/>
    </row>
    <row r="172" spans="25:32" ht="12">
      <c r="Y172" s="4"/>
      <c r="Z172" s="4"/>
      <c r="AA172" s="4"/>
      <c r="AB172" s="4"/>
      <c r="AC172" s="4"/>
      <c r="AD172" s="4"/>
      <c r="AE172" s="4"/>
      <c r="AF172" s="4"/>
    </row>
    <row r="173" spans="25:32" ht="12">
      <c r="Y173" s="4"/>
      <c r="Z173" s="4"/>
      <c r="AA173" s="4"/>
      <c r="AB173" s="4"/>
      <c r="AC173" s="4"/>
      <c r="AD173" s="4"/>
      <c r="AE173" s="4"/>
      <c r="AF173" s="4"/>
    </row>
    <row r="174" spans="25:32" ht="12">
      <c r="Y174" s="4"/>
      <c r="Z174" s="4"/>
      <c r="AA174" s="4"/>
      <c r="AB174" s="4"/>
      <c r="AC174" s="4"/>
      <c r="AD174" s="4"/>
      <c r="AE174" s="4"/>
      <c r="AF174" s="4"/>
    </row>
    <row r="175" spans="25:32" ht="12">
      <c r="Y175" s="4"/>
      <c r="Z175" s="4"/>
      <c r="AA175" s="4"/>
      <c r="AB175" s="4"/>
      <c r="AC175" s="4"/>
      <c r="AD175" s="4"/>
      <c r="AE175" s="4"/>
      <c r="AF175" s="4"/>
    </row>
    <row r="176" spans="25:32" ht="12">
      <c r="Y176" s="4"/>
      <c r="Z176" s="4"/>
      <c r="AA176" s="4"/>
      <c r="AB176" s="4"/>
      <c r="AC176" s="4"/>
      <c r="AD176" s="4"/>
      <c r="AE176" s="4"/>
      <c r="AF176" s="4"/>
    </row>
    <row r="177" spans="25:32" ht="12">
      <c r="Y177" s="4"/>
      <c r="Z177" s="4"/>
      <c r="AA177" s="4"/>
      <c r="AB177" s="4"/>
      <c r="AC177" s="4"/>
      <c r="AD177" s="4"/>
      <c r="AE177" s="4"/>
      <c r="AF177" s="4"/>
    </row>
    <row r="178" spans="25:32" ht="12">
      <c r="Y178" s="4"/>
      <c r="Z178" s="4"/>
      <c r="AA178" s="4"/>
      <c r="AB178" s="4"/>
      <c r="AC178" s="4"/>
      <c r="AD178" s="4"/>
      <c r="AE178" s="4"/>
      <c r="AF178" s="4"/>
    </row>
    <row r="179" spans="25:32" ht="12">
      <c r="Y179" s="4"/>
      <c r="Z179" s="4"/>
      <c r="AA179" s="4"/>
      <c r="AB179" s="4"/>
      <c r="AC179" s="4"/>
      <c r="AD179" s="4"/>
      <c r="AE179" s="4"/>
      <c r="AF179" s="4"/>
    </row>
    <row r="180" spans="25:32" ht="12">
      <c r="Y180" s="4"/>
      <c r="Z180" s="4"/>
      <c r="AA180" s="4"/>
      <c r="AB180" s="4"/>
      <c r="AC180" s="4"/>
      <c r="AD180" s="4"/>
      <c r="AE180" s="4"/>
      <c r="AF180" s="4"/>
    </row>
    <row r="181" spans="25:32" ht="12">
      <c r="Y181" s="4"/>
      <c r="Z181" s="4"/>
      <c r="AA181" s="4"/>
      <c r="AB181" s="4"/>
      <c r="AC181" s="4"/>
      <c r="AD181" s="4"/>
      <c r="AE181" s="4"/>
      <c r="AF181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GOLDFARB</dc:creator>
  <cp:keywords/>
  <dc:description/>
  <cp:lastModifiedBy>BSR3649</cp:lastModifiedBy>
  <dcterms:created xsi:type="dcterms:W3CDTF">1998-05-22T14:31:59Z</dcterms:created>
  <dcterms:modified xsi:type="dcterms:W3CDTF">2003-08-22T16:10:44Z</dcterms:modified>
  <cp:category/>
  <cp:version/>
  <cp:contentType/>
  <cp:contentStatus/>
</cp:coreProperties>
</file>